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updateLinks="always" codeName="현재_통합_문서"/>
  <mc:AlternateContent xmlns:mc="http://schemas.openxmlformats.org/markup-compatibility/2006">
    <mc:Choice Requires="x15">
      <x15ac:absPath xmlns:x15ac="http://schemas.microsoft.com/office/spreadsheetml/2010/11/ac" url="C:\Users\greenhomesys\Downloads\"/>
    </mc:Choice>
  </mc:AlternateContent>
  <xr:revisionPtr revIDLastSave="0" documentId="13_ncr:1_{5649FB57-A21E-48E4-8C96-385E320572F0}" xr6:coauthVersionLast="47" xr6:coauthVersionMax="47" xr10:uidLastSave="{00000000-0000-0000-0000-000000000000}"/>
  <bookViews>
    <workbookView xWindow="3555" yWindow="2160" windowWidth="20760" windowHeight="13800" activeTab="2" xr2:uid="{00000000-000D-0000-FFFF-FFFF00000000}"/>
  </bookViews>
  <sheets>
    <sheet name="매뉴얼" sheetId="3" r:id="rId1"/>
    <sheet name="성적서" sheetId="1" r:id="rId2"/>
    <sheet name="성적서_뷰프레임" sheetId="7" r:id="rId3"/>
    <sheet name="완성창제품" sheetId="2" r:id="rId4"/>
  </sheets>
  <externalReferences>
    <externalReference r:id="rId5"/>
  </externalReferences>
  <definedNames>
    <definedName name="_xlnm._FilterDatabase" localSheetId="0" hidden="1">매뉴얼!$E$10:$E$12</definedName>
    <definedName name="_xlnm._FilterDatabase" localSheetId="2" hidden="1">성적서_뷰프레임!$A$1:$X$384</definedName>
    <definedName name="_xlnm._FilterDatabase" localSheetId="3" hidden="1">완성창제품!$A$1:$W$74</definedName>
    <definedName name="Recent" localSheetId="0">매뉴얼!$E$10</definedName>
    <definedName name="성적값1">성적서!#REF!</definedName>
    <definedName name="시험코드">성적서!$H:$H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93" i="7" l="1"/>
  <c r="L392" i="7"/>
  <c r="L391" i="7"/>
  <c r="L390" i="7"/>
  <c r="L389" i="7"/>
  <c r="L388" i="7"/>
  <c r="L387" i="7"/>
  <c r="L386" i="7"/>
  <c r="L385" i="7"/>
  <c r="L309" i="7" l="1"/>
  <c r="L384" i="7"/>
  <c r="L383" i="7"/>
  <c r="L382" i="7"/>
  <c r="L380" i="7"/>
  <c r="L381" i="7"/>
  <c r="L379" i="7"/>
  <c r="L378" i="7"/>
  <c r="L377" i="7"/>
  <c r="L376" i="7"/>
  <c r="L375" i="7"/>
  <c r="L374" i="7"/>
  <c r="L373" i="7"/>
  <c r="L372" i="7"/>
  <c r="L371" i="7"/>
  <c r="L370" i="7"/>
  <c r="L369" i="7"/>
  <c r="L368" i="7"/>
  <c r="L367" i="7"/>
  <c r="L366" i="7"/>
  <c r="L365" i="7"/>
  <c r="L364" i="7"/>
  <c r="L363" i="7"/>
  <c r="L362" i="7"/>
  <c r="L361" i="7"/>
  <c r="L360" i="7"/>
  <c r="L359" i="7"/>
  <c r="L358" i="7"/>
  <c r="L357" i="7"/>
  <c r="L356" i="7"/>
  <c r="L355" i="7"/>
  <c r="L354" i="7"/>
  <c r="L353" i="7"/>
  <c r="L352" i="7"/>
  <c r="L351" i="7"/>
  <c r="L350" i="7"/>
  <c r="L349" i="7"/>
  <c r="L348" i="7"/>
  <c r="L347" i="7"/>
  <c r="L346" i="7"/>
  <c r="L331" i="7"/>
  <c r="L345" i="7"/>
  <c r="L344" i="7"/>
  <c r="L343" i="7"/>
  <c r="L342" i="7"/>
  <c r="L341" i="7"/>
  <c r="L340" i="7"/>
  <c r="L339" i="7"/>
  <c r="L338" i="7"/>
  <c r="L337" i="7"/>
  <c r="L336" i="7"/>
  <c r="L335" i="7"/>
  <c r="L334" i="7"/>
  <c r="L333" i="7"/>
  <c r="L332" i="7"/>
  <c r="L330" i="7"/>
  <c r="L329" i="7"/>
  <c r="L328" i="7"/>
  <c r="L327" i="7"/>
  <c r="L308" i="7"/>
  <c r="L326" i="7"/>
  <c r="L325" i="7"/>
  <c r="L324" i="7"/>
  <c r="L323" i="7"/>
  <c r="L322" i="7"/>
  <c r="L321" i="7"/>
  <c r="L320" i="7"/>
  <c r="L318" i="7"/>
  <c r="L317" i="7"/>
  <c r="L316" i="7"/>
  <c r="L315" i="7"/>
  <c r="L314" i="7"/>
  <c r="L313" i="7"/>
  <c r="L312" i="7"/>
  <c r="L311" i="7"/>
  <c r="L319" i="7"/>
  <c r="L310" i="7"/>
  <c r="L307" i="7"/>
  <c r="L306" i="7"/>
  <c r="L305" i="7"/>
  <c r="L304" i="7"/>
  <c r="L303" i="7"/>
  <c r="L302" i="7"/>
  <c r="L301" i="7"/>
  <c r="L300" i="7"/>
  <c r="L299" i="7"/>
  <c r="L298" i="7"/>
  <c r="L297" i="7"/>
  <c r="L296" i="7"/>
  <c r="L295" i="7"/>
  <c r="L294" i="7"/>
  <c r="L293" i="7"/>
  <c r="L292" i="7"/>
  <c r="L291" i="7" l="1"/>
  <c r="L290" i="7"/>
  <c r="L289" i="7"/>
  <c r="L288" i="7"/>
  <c r="L287" i="7"/>
  <c r="L286" i="7"/>
  <c r="L285" i="7"/>
  <c r="L284" i="7"/>
  <c r="L283" i="7"/>
  <c r="L282" i="7"/>
  <c r="L281" i="7"/>
  <c r="L280" i="7"/>
  <c r="L279" i="7"/>
  <c r="L278" i="7"/>
  <c r="L277" i="7"/>
  <c r="L276" i="7"/>
  <c r="L275" i="7"/>
  <c r="L274" i="7"/>
  <c r="L273" i="7"/>
  <c r="L272" i="7"/>
  <c r="L271" i="7"/>
  <c r="L270" i="7"/>
  <c r="L269" i="7"/>
  <c r="L268" i="7"/>
  <c r="L267" i="7"/>
  <c r="L266" i="7"/>
  <c r="L265" i="7"/>
  <c r="L264" i="7"/>
  <c r="L263" i="7"/>
  <c r="L262" i="7"/>
  <c r="L261" i="7"/>
  <c r="L260" i="7"/>
  <c r="L259" i="7"/>
  <c r="L258" i="7"/>
  <c r="L257" i="7"/>
  <c r="L256" i="7"/>
  <c r="L255" i="7"/>
  <c r="L254" i="7"/>
  <c r="L253" i="7"/>
  <c r="L252" i="7"/>
  <c r="L251" i="7"/>
  <c r="L250" i="7"/>
  <c r="L249" i="7"/>
  <c r="L248" i="7"/>
  <c r="L247" i="7"/>
  <c r="L246" i="7"/>
  <c r="L245" i="7"/>
  <c r="L244" i="7"/>
  <c r="L243" i="7"/>
  <c r="L242" i="7"/>
  <c r="L241" i="7"/>
  <c r="L240" i="7"/>
  <c r="L239" i="7"/>
  <c r="L238" i="7"/>
  <c r="L237" i="7"/>
  <c r="L236" i="7"/>
  <c r="L235" i="7"/>
  <c r="L234" i="7"/>
  <c r="L233" i="7"/>
  <c r="L232" i="7"/>
  <c r="L231" i="7"/>
  <c r="L230" i="7"/>
  <c r="L229" i="7"/>
  <c r="L228" i="7"/>
  <c r="L227" i="7"/>
  <c r="L226" i="7"/>
  <c r="L225" i="7"/>
  <c r="L224" i="7"/>
  <c r="L223" i="7"/>
  <c r="L222" i="7"/>
  <c r="L221" i="7"/>
  <c r="L220" i="7"/>
  <c r="L219" i="7"/>
  <c r="L218" i="7"/>
  <c r="L217" i="7"/>
  <c r="L216" i="7"/>
  <c r="L215" i="7"/>
  <c r="L214" i="7"/>
  <c r="L213" i="7"/>
  <c r="L212" i="7"/>
  <c r="L211" i="7"/>
  <c r="L210" i="7"/>
  <c r="L209" i="7"/>
  <c r="L208" i="7"/>
  <c r="L207" i="7"/>
  <c r="L206" i="7"/>
  <c r="L205" i="7"/>
  <c r="L204" i="7"/>
  <c r="L203" i="7"/>
  <c r="L202" i="7"/>
  <c r="L201" i="7"/>
  <c r="L200" i="7"/>
  <c r="L199" i="7"/>
  <c r="L198" i="7"/>
  <c r="L197" i="7"/>
  <c r="L196" i="7"/>
  <c r="L195" i="7"/>
  <c r="L194" i="7"/>
  <c r="L193" i="7"/>
  <c r="L192" i="7"/>
  <c r="L191" i="7"/>
  <c r="L190" i="7"/>
  <c r="L189" i="7"/>
  <c r="L188" i="7"/>
  <c r="L187" i="7"/>
  <c r="L186" i="7"/>
  <c r="L185" i="7"/>
  <c r="L184" i="7"/>
  <c r="L183" i="7"/>
  <c r="L182" i="7"/>
  <c r="L181" i="7"/>
  <c r="L180" i="7"/>
  <c r="L179" i="7"/>
  <c r="L178" i="7"/>
  <c r="L177" i="7"/>
  <c r="L176" i="7"/>
  <c r="L175" i="7"/>
  <c r="L174" i="7"/>
  <c r="L173" i="7"/>
  <c r="L172" i="7"/>
  <c r="L171" i="7"/>
  <c r="L170" i="7"/>
  <c r="L169" i="7"/>
  <c r="L168" i="7"/>
  <c r="L167" i="7"/>
  <c r="L166" i="7"/>
  <c r="L165" i="7"/>
  <c r="L164" i="7"/>
  <c r="L163" i="7"/>
  <c r="L162" i="7"/>
  <c r="L161" i="7"/>
  <c r="L160" i="7"/>
  <c r="L159" i="7"/>
  <c r="L158" i="7"/>
  <c r="L157" i="7"/>
  <c r="L156" i="7"/>
  <c r="L155" i="7"/>
  <c r="L154" i="7"/>
  <c r="L153" i="7"/>
  <c r="L152" i="7"/>
  <c r="L151" i="7"/>
  <c r="L150" i="7"/>
  <c r="L149" i="7"/>
  <c r="L148" i="7"/>
  <c r="L147" i="7"/>
  <c r="L146" i="7"/>
  <c r="L145" i="7"/>
  <c r="L144" i="7"/>
  <c r="L143" i="7"/>
  <c r="L142" i="7"/>
  <c r="L141" i="7"/>
  <c r="L140" i="7"/>
  <c r="L139" i="7"/>
  <c r="L138" i="7"/>
  <c r="L137" i="7"/>
  <c r="L136" i="7"/>
  <c r="L135" i="7"/>
  <c r="L134" i="7"/>
  <c r="L133" i="7"/>
  <c r="L132" i="7"/>
  <c r="L131" i="7"/>
  <c r="L130" i="7"/>
  <c r="L129" i="7"/>
  <c r="L128" i="7"/>
  <c r="L127" i="7"/>
  <c r="L126" i="7"/>
  <c r="L125" i="7"/>
  <c r="L124" i="7"/>
  <c r="L123" i="7"/>
  <c r="L122" i="7"/>
  <c r="L121" i="7"/>
  <c r="L120" i="7"/>
  <c r="L119" i="7"/>
  <c r="L118" i="7"/>
  <c r="L117" i="7"/>
  <c r="L116" i="7"/>
  <c r="L115" i="7"/>
  <c r="L114" i="7"/>
  <c r="L113" i="7"/>
  <c r="L112" i="7"/>
  <c r="L111" i="7"/>
  <c r="L110" i="7"/>
  <c r="L109" i="7"/>
  <c r="L108" i="7"/>
  <c r="L107" i="7"/>
  <c r="L106" i="7"/>
  <c r="L105" i="7"/>
  <c r="L104" i="7"/>
  <c r="L103" i="7"/>
  <c r="L102" i="7"/>
  <c r="L101" i="7"/>
  <c r="L100" i="7"/>
  <c r="L99" i="7"/>
  <c r="L98" i="7"/>
  <c r="L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L4" i="7"/>
  <c r="L3" i="7"/>
  <c r="L2" i="7"/>
  <c r="K3" i="7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K277" i="7"/>
  <c r="K278" i="7"/>
  <c r="K279" i="7"/>
  <c r="K280" i="7"/>
  <c r="K281" i="7"/>
  <c r="K282" i="7"/>
  <c r="K283" i="7"/>
  <c r="K284" i="7"/>
  <c r="K285" i="7"/>
  <c r="K286" i="7"/>
  <c r="K287" i="7"/>
  <c r="K288" i="7"/>
  <c r="K289" i="7"/>
  <c r="K290" i="7"/>
  <c r="K291" i="7"/>
  <c r="K2" i="7"/>
  <c r="L94" i="2" l="1"/>
  <c r="L93" i="2"/>
  <c r="L92" i="2"/>
  <c r="L91" i="2"/>
  <c r="L90" i="2"/>
  <c r="K94" i="2"/>
  <c r="K93" i="2"/>
  <c r="K92" i="2"/>
  <c r="K91" i="2"/>
  <c r="K90" i="2"/>
  <c r="I94" i="2"/>
  <c r="I93" i="2"/>
  <c r="I92" i="2"/>
  <c r="I91" i="2"/>
  <c r="I90" i="2"/>
  <c r="H94" i="2"/>
  <c r="H93" i="2"/>
  <c r="H92" i="2"/>
  <c r="H91" i="2"/>
  <c r="H90" i="2"/>
  <c r="L86" i="2"/>
  <c r="L103" i="2"/>
  <c r="L85" i="2"/>
  <c r="L81" i="2"/>
  <c r="L98" i="2"/>
  <c r="L80" i="2"/>
  <c r="L97" i="2"/>
  <c r="L79" i="2"/>
  <c r="L96" i="2"/>
  <c r="L78" i="2"/>
  <c r="L95" i="2"/>
  <c r="L77" i="2"/>
  <c r="K86" i="2"/>
  <c r="K103" i="2"/>
  <c r="K85" i="2"/>
  <c r="K81" i="2"/>
  <c r="K98" i="2"/>
  <c r="K80" i="2"/>
  <c r="K97" i="2"/>
  <c r="K79" i="2"/>
  <c r="K96" i="2"/>
  <c r="K78" i="2"/>
  <c r="K95" i="2"/>
  <c r="K77" i="2"/>
  <c r="I86" i="2"/>
  <c r="I103" i="2"/>
  <c r="I85" i="2"/>
  <c r="I81" i="2"/>
  <c r="I98" i="2"/>
  <c r="I80" i="2"/>
  <c r="I97" i="2"/>
  <c r="I79" i="2"/>
  <c r="I96" i="2"/>
  <c r="I78" i="2"/>
  <c r="I95" i="2"/>
  <c r="I77" i="2"/>
  <c r="H86" i="2"/>
  <c r="H103" i="2"/>
  <c r="H85" i="2"/>
  <c r="H81" i="2"/>
  <c r="H98" i="2"/>
  <c r="H80" i="2"/>
  <c r="H97" i="2"/>
  <c r="H79" i="2"/>
  <c r="H96" i="2"/>
  <c r="H78" i="2"/>
  <c r="H95" i="2"/>
  <c r="H77" i="2"/>
  <c r="H75" i="2"/>
  <c r="X1505" i="1" l="1"/>
  <c r="X2" i="1"/>
  <c r="K2" i="1" s="1"/>
  <c r="X28" i="1"/>
  <c r="K28" i="1" s="1"/>
  <c r="X45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K200" i="1" s="1"/>
  <c r="X201" i="1"/>
  <c r="K201" i="1" s="1"/>
  <c r="X202" i="1"/>
  <c r="K202" i="1" s="1"/>
  <c r="X203" i="1"/>
  <c r="K203" i="1" s="1"/>
  <c r="X204" i="1"/>
  <c r="K204" i="1" s="1"/>
  <c r="X205" i="1"/>
  <c r="K205" i="1" s="1"/>
  <c r="X206" i="1"/>
  <c r="K206" i="1" s="1"/>
  <c r="X207" i="1"/>
  <c r="K207" i="1" s="1"/>
  <c r="X208" i="1"/>
  <c r="K208" i="1" s="1"/>
  <c r="X209" i="1"/>
  <c r="K209" i="1" s="1"/>
  <c r="X210" i="1"/>
  <c r="K210" i="1" s="1"/>
  <c r="X211" i="1"/>
  <c r="K211" i="1" s="1"/>
  <c r="X212" i="1"/>
  <c r="K212" i="1" s="1"/>
  <c r="X213" i="1"/>
  <c r="K213" i="1" s="1"/>
  <c r="X214" i="1"/>
  <c r="K214" i="1" s="1"/>
  <c r="X215" i="1"/>
  <c r="K215" i="1" s="1"/>
  <c r="X216" i="1"/>
  <c r="K216" i="1" s="1"/>
  <c r="X217" i="1"/>
  <c r="K217" i="1" s="1"/>
  <c r="X218" i="1"/>
  <c r="K218" i="1" s="1"/>
  <c r="X219" i="1"/>
  <c r="K219" i="1" s="1"/>
  <c r="X220" i="1"/>
  <c r="K220" i="1" s="1"/>
  <c r="X221" i="1"/>
  <c r="K221" i="1" s="1"/>
  <c r="X222" i="1"/>
  <c r="K222" i="1" s="1"/>
  <c r="X223" i="1"/>
  <c r="K223" i="1" s="1"/>
  <c r="X224" i="1"/>
  <c r="K224" i="1" s="1"/>
  <c r="X225" i="1"/>
  <c r="K225" i="1" s="1"/>
  <c r="X226" i="1"/>
  <c r="K226" i="1" s="1"/>
  <c r="X227" i="1"/>
  <c r="K227" i="1" s="1"/>
  <c r="X228" i="1"/>
  <c r="K228" i="1" s="1"/>
  <c r="X229" i="1"/>
  <c r="K229" i="1" s="1"/>
  <c r="X230" i="1"/>
  <c r="K230" i="1" s="1"/>
  <c r="X231" i="1"/>
  <c r="K231" i="1" s="1"/>
  <c r="X232" i="1"/>
  <c r="K232" i="1" s="1"/>
  <c r="X233" i="1"/>
  <c r="K233" i="1" s="1"/>
  <c r="X234" i="1"/>
  <c r="K234" i="1" s="1"/>
  <c r="X235" i="1"/>
  <c r="K235" i="1" s="1"/>
  <c r="X236" i="1"/>
  <c r="K236" i="1" s="1"/>
  <c r="X237" i="1"/>
  <c r="K237" i="1" s="1"/>
  <c r="X238" i="1"/>
  <c r="K238" i="1" s="1"/>
  <c r="X239" i="1"/>
  <c r="K239" i="1" s="1"/>
  <c r="X240" i="1"/>
  <c r="K240" i="1" s="1"/>
  <c r="X241" i="1"/>
  <c r="K241" i="1" s="1"/>
  <c r="X242" i="1"/>
  <c r="K242" i="1" s="1"/>
  <c r="X243" i="1"/>
  <c r="K243" i="1" s="1"/>
  <c r="X244" i="1"/>
  <c r="K244" i="1" s="1"/>
  <c r="X245" i="1"/>
  <c r="K245" i="1" s="1"/>
  <c r="X246" i="1"/>
  <c r="K246" i="1" s="1"/>
  <c r="X247" i="1"/>
  <c r="K247" i="1" s="1"/>
  <c r="X248" i="1"/>
  <c r="K248" i="1" s="1"/>
  <c r="X249" i="1"/>
  <c r="K249" i="1" s="1"/>
  <c r="X250" i="1"/>
  <c r="K250" i="1" s="1"/>
  <c r="X251" i="1"/>
  <c r="K251" i="1" s="1"/>
  <c r="X252" i="1"/>
  <c r="K252" i="1" s="1"/>
  <c r="X253" i="1"/>
  <c r="K253" i="1" s="1"/>
  <c r="X254" i="1"/>
  <c r="K254" i="1" s="1"/>
  <c r="X255" i="1"/>
  <c r="K255" i="1" s="1"/>
  <c r="X256" i="1"/>
  <c r="K256" i="1" s="1"/>
  <c r="X257" i="1"/>
  <c r="K257" i="1" s="1"/>
  <c r="X258" i="1"/>
  <c r="K258" i="1" s="1"/>
  <c r="X259" i="1"/>
  <c r="K259" i="1" s="1"/>
  <c r="X260" i="1"/>
  <c r="K260" i="1" s="1"/>
  <c r="X261" i="1"/>
  <c r="K261" i="1" s="1"/>
  <c r="X262" i="1"/>
  <c r="K262" i="1" s="1"/>
  <c r="X263" i="1"/>
  <c r="K263" i="1" s="1"/>
  <c r="X264" i="1"/>
  <c r="K264" i="1" s="1"/>
  <c r="X265" i="1"/>
  <c r="K265" i="1" s="1"/>
  <c r="X266" i="1"/>
  <c r="K266" i="1" s="1"/>
  <c r="X267" i="1"/>
  <c r="K267" i="1" s="1"/>
  <c r="X268" i="1"/>
  <c r="K268" i="1" s="1"/>
  <c r="X269" i="1"/>
  <c r="K269" i="1" s="1"/>
  <c r="X270" i="1"/>
  <c r="K270" i="1" s="1"/>
  <c r="X271" i="1"/>
  <c r="K271" i="1" s="1"/>
  <c r="X272" i="1"/>
  <c r="K272" i="1" s="1"/>
  <c r="X273" i="1"/>
  <c r="K273" i="1" s="1"/>
  <c r="X274" i="1"/>
  <c r="K274" i="1" s="1"/>
  <c r="X275" i="1"/>
  <c r="K275" i="1" s="1"/>
  <c r="X276" i="1"/>
  <c r="K276" i="1" s="1"/>
  <c r="X277" i="1"/>
  <c r="K277" i="1" s="1"/>
  <c r="X278" i="1"/>
  <c r="K278" i="1" s="1"/>
  <c r="X279" i="1"/>
  <c r="K279" i="1" s="1"/>
  <c r="X280" i="1"/>
  <c r="K280" i="1" s="1"/>
  <c r="X281" i="1"/>
  <c r="K281" i="1" s="1"/>
  <c r="X282" i="1"/>
  <c r="K282" i="1" s="1"/>
  <c r="X283" i="1"/>
  <c r="K283" i="1" s="1"/>
  <c r="X284" i="1"/>
  <c r="K284" i="1" s="1"/>
  <c r="X285" i="1"/>
  <c r="K285" i="1" s="1"/>
  <c r="X286" i="1"/>
  <c r="K286" i="1" s="1"/>
  <c r="X287" i="1"/>
  <c r="K287" i="1" s="1"/>
  <c r="X288" i="1"/>
  <c r="K288" i="1" s="1"/>
  <c r="X289" i="1"/>
  <c r="K289" i="1" s="1"/>
  <c r="X290" i="1"/>
  <c r="K290" i="1" s="1"/>
  <c r="X291" i="1"/>
  <c r="K291" i="1" s="1"/>
  <c r="X292" i="1"/>
  <c r="K292" i="1" s="1"/>
  <c r="X293" i="1"/>
  <c r="K293" i="1" s="1"/>
  <c r="X294" i="1"/>
  <c r="K294" i="1" s="1"/>
  <c r="X295" i="1"/>
  <c r="K295" i="1" s="1"/>
  <c r="X296" i="1"/>
  <c r="K296" i="1" s="1"/>
  <c r="X297" i="1"/>
  <c r="K297" i="1" s="1"/>
  <c r="X298" i="1"/>
  <c r="K298" i="1" s="1"/>
  <c r="X299" i="1"/>
  <c r="K299" i="1" s="1"/>
  <c r="X300" i="1"/>
  <c r="X301" i="1"/>
  <c r="X302" i="1"/>
  <c r="X303" i="1"/>
  <c r="X464" i="1"/>
  <c r="X465" i="1"/>
  <c r="X466" i="1"/>
  <c r="X467" i="1"/>
  <c r="X468" i="1"/>
  <c r="X470" i="1"/>
  <c r="X471" i="1"/>
  <c r="X483" i="1"/>
  <c r="X484" i="1"/>
  <c r="X485" i="1"/>
  <c r="X486" i="1"/>
  <c r="X489" i="1"/>
  <c r="X490" i="1"/>
  <c r="X491" i="1"/>
  <c r="X493" i="1"/>
  <c r="X498" i="1"/>
  <c r="X499" i="1"/>
  <c r="X502" i="1"/>
  <c r="X503" i="1"/>
  <c r="X504" i="1"/>
  <c r="X508" i="1"/>
  <c r="X545" i="1"/>
  <c r="X546" i="1"/>
  <c r="X547" i="1"/>
  <c r="X548" i="1"/>
  <c r="X549" i="1"/>
  <c r="X563" i="1"/>
  <c r="X570" i="1"/>
  <c r="X571" i="1"/>
  <c r="X572" i="1"/>
  <c r="X582" i="1"/>
  <c r="X583" i="1"/>
  <c r="X596" i="1"/>
  <c r="X628" i="1"/>
  <c r="X629" i="1"/>
  <c r="X630" i="1"/>
  <c r="X631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86" i="1"/>
  <c r="X687" i="1"/>
  <c r="X688" i="1"/>
  <c r="X689" i="1"/>
  <c r="X690" i="1"/>
  <c r="X691" i="1"/>
  <c r="X699" i="1"/>
  <c r="X700" i="1"/>
  <c r="X701" i="1"/>
  <c r="X702" i="1"/>
  <c r="X720" i="1"/>
  <c r="X721" i="1"/>
  <c r="X722" i="1"/>
  <c r="X723" i="1"/>
  <c r="X724" i="1"/>
  <c r="X725" i="1"/>
  <c r="X726" i="1"/>
  <c r="X727" i="1"/>
  <c r="X728" i="1"/>
  <c r="X729" i="1"/>
  <c r="X730" i="1"/>
  <c r="X731" i="1"/>
  <c r="X732" i="1"/>
  <c r="X733" i="1"/>
  <c r="X734" i="1"/>
  <c r="X735" i="1"/>
  <c r="X736" i="1"/>
  <c r="X737" i="1"/>
  <c r="X738" i="1"/>
  <c r="X739" i="1"/>
  <c r="X743" i="1"/>
  <c r="X744" i="1"/>
  <c r="X745" i="1"/>
  <c r="X755" i="1"/>
  <c r="X756" i="1"/>
  <c r="X757" i="1"/>
  <c r="X768" i="1"/>
  <c r="X773" i="1"/>
  <c r="X786" i="1"/>
  <c r="X814" i="1"/>
  <c r="X815" i="1"/>
  <c r="X816" i="1"/>
  <c r="X817" i="1"/>
  <c r="X818" i="1"/>
  <c r="X819" i="1"/>
  <c r="X820" i="1"/>
  <c r="X821" i="1"/>
  <c r="X822" i="1"/>
  <c r="X823" i="1"/>
  <c r="X824" i="1"/>
  <c r="X841" i="1"/>
  <c r="X853" i="1"/>
  <c r="X854" i="1"/>
  <c r="X870" i="1"/>
  <c r="X877" i="1"/>
  <c r="X878" i="1"/>
  <c r="X880" i="1"/>
  <c r="X881" i="1"/>
  <c r="X882" i="1"/>
  <c r="X883" i="1"/>
  <c r="X884" i="1"/>
  <c r="X885" i="1"/>
  <c r="X886" i="1"/>
  <c r="X887" i="1"/>
  <c r="X888" i="1"/>
  <c r="X889" i="1"/>
  <c r="X890" i="1"/>
  <c r="X891" i="1"/>
  <c r="X892" i="1"/>
  <c r="X893" i="1"/>
  <c r="X894" i="1"/>
  <c r="X895" i="1"/>
  <c r="X896" i="1"/>
  <c r="X897" i="1"/>
  <c r="X910" i="1"/>
  <c r="X914" i="1"/>
  <c r="X919" i="1"/>
  <c r="X920" i="1"/>
  <c r="X921" i="1"/>
  <c r="X922" i="1"/>
  <c r="X923" i="1"/>
  <c r="X924" i="1"/>
  <c r="X925" i="1"/>
  <c r="X932" i="1"/>
  <c r="X933" i="1"/>
  <c r="X934" i="1"/>
  <c r="X935" i="1"/>
  <c r="X936" i="1"/>
  <c r="X937" i="1"/>
  <c r="X938" i="1"/>
  <c r="X939" i="1"/>
  <c r="X940" i="1"/>
  <c r="X941" i="1"/>
  <c r="X942" i="1"/>
  <c r="X943" i="1"/>
  <c r="X944" i="1"/>
  <c r="X953" i="1"/>
  <c r="X954" i="1"/>
  <c r="X955" i="1"/>
  <c r="X956" i="1"/>
  <c r="X957" i="1"/>
  <c r="X958" i="1"/>
  <c r="X959" i="1"/>
  <c r="X960" i="1"/>
  <c r="X961" i="1"/>
  <c r="X962" i="1"/>
  <c r="X963" i="1"/>
  <c r="X964" i="1"/>
  <c r="X965" i="1"/>
  <c r="X972" i="1"/>
  <c r="X973" i="1"/>
  <c r="X974" i="1"/>
  <c r="X988" i="1"/>
  <c r="X989" i="1"/>
  <c r="X990" i="1"/>
  <c r="X999" i="1"/>
  <c r="X1000" i="1"/>
  <c r="X1001" i="1"/>
  <c r="X1002" i="1"/>
  <c r="X1003" i="1"/>
  <c r="X1004" i="1"/>
  <c r="X1005" i="1"/>
  <c r="X1006" i="1"/>
  <c r="X1007" i="1"/>
  <c r="X1016" i="1"/>
  <c r="X1028" i="1"/>
  <c r="X1029" i="1"/>
  <c r="X1049" i="1"/>
  <c r="X1050" i="1"/>
  <c r="X1090" i="1"/>
  <c r="X1091" i="1"/>
  <c r="X1092" i="1"/>
  <c r="X1093" i="1"/>
  <c r="X1094" i="1"/>
  <c r="X1095" i="1"/>
  <c r="X1096" i="1"/>
  <c r="X1097" i="1"/>
  <c r="X1098" i="1"/>
  <c r="X1144" i="1"/>
  <c r="X1145" i="1"/>
  <c r="X1146" i="1"/>
  <c r="X1147" i="1"/>
  <c r="X1162" i="1"/>
  <c r="X1163" i="1"/>
  <c r="X1172" i="1"/>
  <c r="X1173" i="1"/>
  <c r="X1174" i="1"/>
  <c r="X1181" i="1"/>
  <c r="X1182" i="1"/>
  <c r="X1183" i="1"/>
  <c r="X1184" i="1"/>
  <c r="X1200" i="1"/>
  <c r="X1201" i="1"/>
  <c r="X1202" i="1"/>
  <c r="X1203" i="1"/>
  <c r="X1204" i="1"/>
  <c r="X1205" i="1"/>
  <c r="X1206" i="1"/>
  <c r="X1207" i="1"/>
  <c r="X1208" i="1"/>
  <c r="X1209" i="1"/>
  <c r="X1213" i="1"/>
  <c r="X1234" i="1"/>
  <c r="X1235" i="1"/>
  <c r="X1254" i="1"/>
  <c r="X1270" i="1"/>
  <c r="X1271" i="1"/>
  <c r="X1272" i="1"/>
  <c r="X1273" i="1"/>
  <c r="X1274" i="1"/>
  <c r="X1291" i="1"/>
  <c r="X1292" i="1"/>
  <c r="X1308" i="1"/>
  <c r="X1309" i="1"/>
  <c r="X1310" i="1"/>
  <c r="X1311" i="1"/>
  <c r="X1312" i="1"/>
  <c r="X1313" i="1"/>
  <c r="X1314" i="1"/>
  <c r="X1315" i="1"/>
  <c r="X1316" i="1"/>
  <c r="X1317" i="1"/>
  <c r="X1318" i="1"/>
  <c r="X1319" i="1"/>
  <c r="X1338" i="1"/>
  <c r="X1371" i="1"/>
  <c r="X1372" i="1"/>
  <c r="X1373" i="1"/>
  <c r="X1374" i="1"/>
  <c r="X1375" i="1"/>
  <c r="X1376" i="1"/>
  <c r="X1377" i="1"/>
  <c r="X1378" i="1"/>
  <c r="X1379" i="1"/>
  <c r="X1380" i="1"/>
  <c r="X1381" i="1"/>
  <c r="X1401" i="1"/>
  <c r="X1402" i="1"/>
  <c r="X1403" i="1"/>
  <c r="X1404" i="1"/>
  <c r="X1405" i="1"/>
  <c r="X1406" i="1"/>
  <c r="X1407" i="1"/>
  <c r="X1408" i="1"/>
  <c r="X1409" i="1"/>
  <c r="X1410" i="1"/>
  <c r="X1411" i="1"/>
  <c r="X1412" i="1"/>
  <c r="X1413" i="1"/>
  <c r="X1414" i="1"/>
  <c r="X1415" i="1"/>
  <c r="X1437" i="1"/>
  <c r="X1438" i="1"/>
  <c r="X1439" i="1"/>
  <c r="X1440" i="1"/>
  <c r="X1441" i="1"/>
  <c r="X1442" i="1"/>
  <c r="X1445" i="1"/>
  <c r="X1446" i="1"/>
  <c r="X1447" i="1"/>
  <c r="X1448" i="1"/>
  <c r="X1449" i="1"/>
  <c r="X1450" i="1"/>
  <c r="X1451" i="1"/>
  <c r="X1452" i="1"/>
  <c r="X1453" i="1"/>
  <c r="X1454" i="1"/>
  <c r="X1455" i="1"/>
  <c r="X1456" i="1"/>
  <c r="X1457" i="1"/>
  <c r="X1458" i="1"/>
  <c r="X1459" i="1"/>
  <c r="X1460" i="1"/>
  <c r="X1461" i="1"/>
  <c r="X1462" i="1"/>
  <c r="X1463" i="1"/>
  <c r="X1464" i="1"/>
  <c r="X1465" i="1"/>
  <c r="X1466" i="1"/>
  <c r="X1467" i="1"/>
  <c r="X1468" i="1"/>
  <c r="X1469" i="1"/>
  <c r="X1470" i="1"/>
  <c r="X1471" i="1"/>
  <c r="X1472" i="1"/>
  <c r="X1473" i="1"/>
  <c r="X1474" i="1"/>
  <c r="X1475" i="1"/>
  <c r="X1476" i="1"/>
  <c r="X1477" i="1"/>
  <c r="X1478" i="1"/>
  <c r="X1479" i="1"/>
  <c r="X1480" i="1"/>
  <c r="X1481" i="1"/>
  <c r="X1482" i="1"/>
  <c r="X1483" i="1"/>
  <c r="X1484" i="1"/>
  <c r="X1485" i="1"/>
  <c r="X1486" i="1"/>
  <c r="X1487" i="1"/>
  <c r="X1488" i="1"/>
  <c r="K1488" i="1" s="1"/>
  <c r="X1489" i="1"/>
  <c r="K1489" i="1" s="1"/>
  <c r="X1490" i="1"/>
  <c r="X1491" i="1"/>
  <c r="X1492" i="1"/>
  <c r="K1492" i="1" s="1"/>
  <c r="X1493" i="1"/>
  <c r="X1494" i="1"/>
  <c r="K1494" i="1" s="1"/>
  <c r="X1495" i="1"/>
  <c r="X1496" i="1"/>
  <c r="K1496" i="1" s="1"/>
  <c r="X1497" i="1"/>
  <c r="K1497" i="1" s="1"/>
  <c r="X1498" i="1"/>
  <c r="X1499" i="1"/>
  <c r="X1500" i="1"/>
  <c r="X1501" i="1"/>
  <c r="K1501" i="1" s="1"/>
  <c r="X1502" i="1"/>
  <c r="K1502" i="1" s="1"/>
  <c r="X1503" i="1"/>
  <c r="X1504" i="1"/>
  <c r="K1504" i="1" s="1"/>
  <c r="K1505" i="1" l="1"/>
  <c r="K1503" i="1"/>
  <c r="K1495" i="1"/>
  <c r="K1493" i="1"/>
  <c r="K1500" i="1"/>
  <c r="K1499" i="1"/>
  <c r="K1491" i="1"/>
  <c r="K1498" i="1"/>
  <c r="K1490" i="1"/>
  <c r="M26" i="2"/>
  <c r="L26" i="2"/>
  <c r="K26" i="2"/>
  <c r="J26" i="2"/>
  <c r="I26" i="2"/>
  <c r="H26" i="2"/>
  <c r="X26" i="2"/>
  <c r="W26" i="2"/>
  <c r="V26" i="2"/>
  <c r="U26" i="2"/>
  <c r="T26" i="2"/>
  <c r="K1443" i="1" l="1"/>
  <c r="K1441" i="1"/>
  <c r="K1442" i="1"/>
  <c r="K1487" i="1" l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P1444" i="1"/>
  <c r="K1440" i="1"/>
  <c r="K1439" i="1"/>
  <c r="K1438" i="1"/>
  <c r="K1437" i="1"/>
  <c r="N1436" i="1"/>
  <c r="N1435" i="1"/>
  <c r="N1434" i="1"/>
  <c r="N1433" i="1"/>
  <c r="N1432" i="1"/>
  <c r="T1431" i="1"/>
  <c r="T1430" i="1"/>
  <c r="T1429" i="1"/>
  <c r="T1428" i="1"/>
  <c r="T1427" i="1"/>
  <c r="O1426" i="1"/>
  <c r="O1425" i="1"/>
  <c r="O1424" i="1"/>
  <c r="O1423" i="1"/>
  <c r="O1422" i="1"/>
  <c r="O1421" i="1"/>
  <c r="O1420" i="1"/>
  <c r="O1419" i="1"/>
  <c r="O1418" i="1"/>
  <c r="O1417" i="1"/>
  <c r="O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Q1400" i="1"/>
  <c r="P1400" i="1"/>
  <c r="O1400" i="1"/>
  <c r="O1399" i="1"/>
  <c r="O1398" i="1"/>
  <c r="O1397" i="1"/>
  <c r="O1396" i="1"/>
  <c r="O1395" i="1"/>
  <c r="O1394" i="1"/>
  <c r="Q1393" i="1"/>
  <c r="P1393" i="1"/>
  <c r="O1393" i="1"/>
  <c r="Q1392" i="1"/>
  <c r="P1392" i="1"/>
  <c r="O1392" i="1"/>
  <c r="Q1391" i="1"/>
  <c r="P1391" i="1"/>
  <c r="O1391" i="1"/>
  <c r="O1390" i="1"/>
  <c r="O1389" i="1"/>
  <c r="O1388" i="1"/>
  <c r="O1387" i="1"/>
  <c r="N1386" i="1"/>
  <c r="N1385" i="1"/>
  <c r="N1384" i="1"/>
  <c r="N1383" i="1"/>
  <c r="N1382" i="1"/>
  <c r="K1381" i="1"/>
  <c r="K1380" i="1"/>
  <c r="K1379" i="1"/>
  <c r="K1378" i="1"/>
  <c r="K1377" i="1"/>
  <c r="K1376" i="1"/>
  <c r="K1375" i="1"/>
  <c r="K1374" i="1"/>
  <c r="K1373" i="1"/>
  <c r="K1372" i="1"/>
  <c r="K1371" i="1"/>
  <c r="N1370" i="1"/>
  <c r="N1369" i="1"/>
  <c r="N1368" i="1"/>
  <c r="N1367" i="1"/>
  <c r="N1366" i="1"/>
  <c r="N1365" i="1"/>
  <c r="N1364" i="1"/>
  <c r="N1363" i="1"/>
  <c r="N1362" i="1"/>
  <c r="N1361" i="1"/>
  <c r="Q1360" i="1"/>
  <c r="P1360" i="1"/>
  <c r="O1360" i="1"/>
  <c r="Q1359" i="1"/>
  <c r="P1359" i="1"/>
  <c r="Q1358" i="1"/>
  <c r="P1358" i="1"/>
  <c r="Q1357" i="1"/>
  <c r="P1357" i="1"/>
  <c r="Q1356" i="1"/>
  <c r="P1356" i="1"/>
  <c r="O1355" i="1"/>
  <c r="O1354" i="1"/>
  <c r="O1353" i="1"/>
  <c r="O1352" i="1"/>
  <c r="T1351" i="1"/>
  <c r="T1350" i="1"/>
  <c r="T1349" i="1"/>
  <c r="T1348" i="1"/>
  <c r="Q1347" i="1"/>
  <c r="P1347" i="1"/>
  <c r="O1347" i="1"/>
  <c r="Q1346" i="1"/>
  <c r="P1346" i="1"/>
  <c r="O1346" i="1"/>
  <c r="O1345" i="1"/>
  <c r="O1344" i="1"/>
  <c r="O1343" i="1"/>
  <c r="N1342" i="1"/>
  <c r="N1341" i="1"/>
  <c r="N1340" i="1"/>
  <c r="T1339" i="1"/>
  <c r="K1338" i="1"/>
  <c r="O1337" i="1"/>
  <c r="O1336" i="1"/>
  <c r="O1335" i="1"/>
  <c r="O1334" i="1"/>
  <c r="O1333" i="1"/>
  <c r="O1332" i="1"/>
  <c r="O1331" i="1"/>
  <c r="O1330" i="1"/>
  <c r="T1329" i="1"/>
  <c r="T1328" i="1"/>
  <c r="N1327" i="1"/>
  <c r="Q1326" i="1"/>
  <c r="P1326" i="1"/>
  <c r="O1326" i="1"/>
  <c r="Q1325" i="1"/>
  <c r="P1325" i="1"/>
  <c r="O1324" i="1"/>
  <c r="O1323" i="1"/>
  <c r="O1322" i="1"/>
  <c r="O1321" i="1"/>
  <c r="O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N1307" i="1"/>
  <c r="N1306" i="1"/>
  <c r="T1305" i="1"/>
  <c r="T1304" i="1"/>
  <c r="T1303" i="1"/>
  <c r="T1302" i="1"/>
  <c r="Q1301" i="1"/>
  <c r="P1301" i="1"/>
  <c r="O1301" i="1"/>
  <c r="Q1300" i="1"/>
  <c r="P1300" i="1"/>
  <c r="O1300" i="1"/>
  <c r="O1299" i="1"/>
  <c r="O1298" i="1"/>
  <c r="N1297" i="1"/>
  <c r="N1296" i="1"/>
  <c r="N1295" i="1"/>
  <c r="N1294" i="1"/>
  <c r="N1293" i="1"/>
  <c r="K1292" i="1"/>
  <c r="K1291" i="1"/>
  <c r="Q1290" i="1"/>
  <c r="P1290" i="1"/>
  <c r="O1290" i="1"/>
  <c r="Q1289" i="1"/>
  <c r="P1289" i="1"/>
  <c r="O1289" i="1"/>
  <c r="O1288" i="1"/>
  <c r="N1287" i="1"/>
  <c r="Q1286" i="1"/>
  <c r="P1286" i="1"/>
  <c r="O1286" i="1"/>
  <c r="Q1285" i="1"/>
  <c r="P1285" i="1"/>
  <c r="O1285" i="1"/>
  <c r="Q1284" i="1"/>
  <c r="P1284" i="1"/>
  <c r="O1284" i="1"/>
  <c r="Q1283" i="1"/>
  <c r="P1283" i="1"/>
  <c r="O1283" i="1"/>
  <c r="Q1282" i="1"/>
  <c r="P1282" i="1"/>
  <c r="O1282" i="1"/>
  <c r="Q1281" i="1"/>
  <c r="P1281" i="1"/>
  <c r="O1281" i="1"/>
  <c r="Q1280" i="1"/>
  <c r="P1280" i="1"/>
  <c r="O1280" i="1"/>
  <c r="Q1279" i="1"/>
  <c r="P1279" i="1"/>
  <c r="O1279" i="1"/>
  <c r="Q1278" i="1"/>
  <c r="P1278" i="1"/>
  <c r="Q1277" i="1"/>
  <c r="P1277" i="1"/>
  <c r="Q1276" i="1"/>
  <c r="P1276" i="1"/>
  <c r="O1275" i="1"/>
  <c r="K1274" i="1"/>
  <c r="K1273" i="1"/>
  <c r="K1272" i="1"/>
  <c r="K1271" i="1"/>
  <c r="K1270" i="1"/>
  <c r="O1269" i="1"/>
  <c r="O1268" i="1"/>
  <c r="O1267" i="1"/>
  <c r="O1266" i="1"/>
  <c r="O1265" i="1"/>
  <c r="S1264" i="1"/>
  <c r="T1263" i="1"/>
  <c r="N1262" i="1"/>
  <c r="N1261" i="1"/>
  <c r="N1260" i="1"/>
  <c r="N1259" i="1"/>
  <c r="N1258" i="1"/>
  <c r="N1257" i="1"/>
  <c r="T1256" i="1"/>
  <c r="T1255" i="1"/>
  <c r="K1254" i="1"/>
  <c r="N1252" i="1"/>
  <c r="Q1251" i="1"/>
  <c r="P1251" i="1"/>
  <c r="O1251" i="1"/>
  <c r="Q1250" i="1"/>
  <c r="P1250" i="1"/>
  <c r="O1250" i="1"/>
  <c r="Q1249" i="1"/>
  <c r="P1249" i="1"/>
  <c r="O1249" i="1"/>
  <c r="Q1248" i="1"/>
  <c r="P1248" i="1"/>
  <c r="O1248" i="1"/>
  <c r="Q1247" i="1"/>
  <c r="P1247" i="1"/>
  <c r="O1247" i="1"/>
  <c r="Q1246" i="1"/>
  <c r="P1246" i="1"/>
  <c r="O1246" i="1"/>
  <c r="Q1245" i="1"/>
  <c r="P1245" i="1"/>
  <c r="O1245" i="1"/>
  <c r="O1244" i="1"/>
  <c r="O1243" i="1"/>
  <c r="U1242" i="1"/>
  <c r="T1241" i="1"/>
  <c r="S1240" i="1"/>
  <c r="T1239" i="1"/>
  <c r="N1238" i="1"/>
  <c r="O1237" i="1"/>
  <c r="N1236" i="1"/>
  <c r="K1235" i="1"/>
  <c r="K1234" i="1"/>
  <c r="Q1233" i="1"/>
  <c r="P1233" i="1"/>
  <c r="O1233" i="1"/>
  <c r="O1232" i="1"/>
  <c r="O1231" i="1"/>
  <c r="O1230" i="1"/>
  <c r="O1229" i="1"/>
  <c r="O1228" i="1"/>
  <c r="N1227" i="1"/>
  <c r="N1226" i="1"/>
  <c r="N1225" i="1"/>
  <c r="N1224" i="1"/>
  <c r="N1223" i="1"/>
  <c r="N1222" i="1"/>
  <c r="N1221" i="1"/>
  <c r="Q1220" i="1"/>
  <c r="P1220" i="1"/>
  <c r="O1220" i="1"/>
  <c r="N1219" i="1"/>
  <c r="T1218" i="1"/>
  <c r="U1217" i="1"/>
  <c r="T1216" i="1"/>
  <c r="O1215" i="1"/>
  <c r="O1214" i="1"/>
  <c r="K1213" i="1"/>
  <c r="N1212" i="1"/>
  <c r="N1211" i="1"/>
  <c r="V1210" i="1"/>
  <c r="K1209" i="1"/>
  <c r="K1208" i="1"/>
  <c r="K1207" i="1"/>
  <c r="K1206" i="1"/>
  <c r="K1205" i="1"/>
  <c r="K1204" i="1"/>
  <c r="K1203" i="1"/>
  <c r="K1202" i="1"/>
  <c r="K1201" i="1"/>
  <c r="K1200" i="1"/>
  <c r="U1199" i="1"/>
  <c r="N1198" i="1"/>
  <c r="N1197" i="1"/>
  <c r="U1196" i="1"/>
  <c r="R1195" i="1"/>
  <c r="R1194" i="1"/>
  <c r="V1193" i="1"/>
  <c r="V1192" i="1"/>
  <c r="V1191" i="1"/>
  <c r="V1190" i="1"/>
  <c r="N1189" i="1"/>
  <c r="N1188" i="1"/>
  <c r="N1187" i="1"/>
  <c r="O1186" i="1"/>
  <c r="N1185" i="1"/>
  <c r="K1184" i="1"/>
  <c r="K1183" i="1"/>
  <c r="K1182" i="1"/>
  <c r="K1181" i="1"/>
  <c r="Q1180" i="1"/>
  <c r="P1180" i="1"/>
  <c r="O1180" i="1"/>
  <c r="Q1179" i="1"/>
  <c r="P1179" i="1"/>
  <c r="Q1178" i="1"/>
  <c r="P1178" i="1"/>
  <c r="Q1177" i="1"/>
  <c r="P1177" i="1"/>
  <c r="Q1176" i="1"/>
  <c r="P1176" i="1"/>
  <c r="T1175" i="1"/>
  <c r="K1174" i="1"/>
  <c r="K1173" i="1"/>
  <c r="K1172" i="1"/>
  <c r="T1171" i="1"/>
  <c r="T1170" i="1"/>
  <c r="Q1169" i="1"/>
  <c r="P1169" i="1"/>
  <c r="Q1168" i="1"/>
  <c r="P1168" i="1"/>
  <c r="Q1167" i="1"/>
  <c r="P1167" i="1"/>
  <c r="O1167" i="1"/>
  <c r="O1166" i="1"/>
  <c r="O1165" i="1"/>
  <c r="O1164" i="1"/>
  <c r="K1163" i="1"/>
  <c r="K1162" i="1"/>
  <c r="N1161" i="1"/>
  <c r="N1160" i="1"/>
  <c r="Q1159" i="1"/>
  <c r="P1159" i="1"/>
  <c r="O1159" i="1"/>
  <c r="Q1158" i="1"/>
  <c r="P1158" i="1"/>
  <c r="O1158" i="1"/>
  <c r="O1157" i="1"/>
  <c r="O1156" i="1"/>
  <c r="O1155" i="1"/>
  <c r="N1154" i="1"/>
  <c r="N1153" i="1"/>
  <c r="N1152" i="1"/>
  <c r="V1151" i="1"/>
  <c r="V1150" i="1"/>
  <c r="V1149" i="1"/>
  <c r="N1148" i="1"/>
  <c r="K1147" i="1"/>
  <c r="K1146" i="1"/>
  <c r="K1145" i="1"/>
  <c r="K1144" i="1"/>
  <c r="N1143" i="1"/>
  <c r="O1142" i="1"/>
  <c r="U1141" i="1"/>
  <c r="N1140" i="1"/>
  <c r="N1139" i="1"/>
  <c r="N1138" i="1"/>
  <c r="N1137" i="1"/>
  <c r="O1136" i="1"/>
  <c r="O1135" i="1"/>
  <c r="O1134" i="1"/>
  <c r="O1133" i="1"/>
  <c r="U1132" i="1"/>
  <c r="R1131" i="1"/>
  <c r="R1130" i="1"/>
  <c r="R1129" i="1"/>
  <c r="R1128" i="1"/>
  <c r="R1127" i="1"/>
  <c r="T1126" i="1"/>
  <c r="T1125" i="1"/>
  <c r="N1124" i="1"/>
  <c r="Q1123" i="1"/>
  <c r="P1123" i="1"/>
  <c r="O1123" i="1"/>
  <c r="Q1122" i="1"/>
  <c r="P1122" i="1"/>
  <c r="Q1121" i="1"/>
  <c r="P1121" i="1"/>
  <c r="Q1120" i="1"/>
  <c r="P1120" i="1"/>
  <c r="O1119" i="1"/>
  <c r="O1118" i="1"/>
  <c r="O1117" i="1"/>
  <c r="O1116" i="1"/>
  <c r="O1115" i="1"/>
  <c r="O1114" i="1"/>
  <c r="V1113" i="1"/>
  <c r="N1112" i="1"/>
  <c r="T1111" i="1"/>
  <c r="T1110" i="1"/>
  <c r="O1109" i="1"/>
  <c r="N1108" i="1"/>
  <c r="N1107" i="1"/>
  <c r="N1106" i="1"/>
  <c r="N1105" i="1"/>
  <c r="N1104" i="1"/>
  <c r="N1103" i="1"/>
  <c r="N1102" i="1"/>
  <c r="N1101" i="1"/>
  <c r="Q1100" i="1"/>
  <c r="T1099" i="1"/>
  <c r="K1098" i="1"/>
  <c r="K1097" i="1"/>
  <c r="K1096" i="1"/>
  <c r="K1095" i="1"/>
  <c r="K1094" i="1"/>
  <c r="K1093" i="1"/>
  <c r="K1092" i="1"/>
  <c r="K1091" i="1"/>
  <c r="K1090" i="1"/>
  <c r="O1089" i="1"/>
  <c r="O1088" i="1"/>
  <c r="O1087" i="1"/>
  <c r="N1086" i="1"/>
  <c r="N1085" i="1"/>
  <c r="Q1084" i="1"/>
  <c r="P1084" i="1"/>
  <c r="O1084" i="1"/>
  <c r="Q1083" i="1"/>
  <c r="P1083" i="1"/>
  <c r="O1083" i="1"/>
  <c r="Q1082" i="1"/>
  <c r="P1082" i="1"/>
  <c r="O1082" i="1"/>
  <c r="Q1081" i="1"/>
  <c r="P1081" i="1"/>
  <c r="O1081" i="1"/>
  <c r="Q1080" i="1"/>
  <c r="P1080" i="1"/>
  <c r="O1080" i="1"/>
  <c r="Q1079" i="1"/>
  <c r="P1079" i="1"/>
  <c r="O1079" i="1"/>
  <c r="O1078" i="1"/>
  <c r="O1077" i="1"/>
  <c r="N1076" i="1"/>
  <c r="N1075" i="1"/>
  <c r="N1074" i="1"/>
  <c r="N1073" i="1"/>
  <c r="N1072" i="1"/>
  <c r="Q1071" i="1"/>
  <c r="P1071" i="1"/>
  <c r="O1071" i="1"/>
  <c r="O1070" i="1"/>
  <c r="O1069" i="1"/>
  <c r="O1068" i="1"/>
  <c r="V1067" i="1"/>
  <c r="U1066" i="1"/>
  <c r="T1065" i="1"/>
  <c r="S1064" i="1"/>
  <c r="T1063" i="1"/>
  <c r="N1062" i="1"/>
  <c r="N1061" i="1"/>
  <c r="N1060" i="1"/>
  <c r="N1059" i="1"/>
  <c r="N1058" i="1"/>
  <c r="N1057" i="1"/>
  <c r="N1056" i="1"/>
  <c r="N1055" i="1"/>
  <c r="Q1054" i="1"/>
  <c r="P1054" i="1"/>
  <c r="O1054" i="1"/>
  <c r="Q1053" i="1"/>
  <c r="P1053" i="1"/>
  <c r="O1053" i="1"/>
  <c r="Q1052" i="1"/>
  <c r="P1052" i="1"/>
  <c r="O1052" i="1"/>
  <c r="N1051" i="1"/>
  <c r="K1050" i="1"/>
  <c r="K1049" i="1"/>
  <c r="Q1048" i="1"/>
  <c r="P1048" i="1"/>
  <c r="O1048" i="1"/>
  <c r="O1047" i="1"/>
  <c r="O1046" i="1"/>
  <c r="O1045" i="1"/>
  <c r="N1044" i="1"/>
  <c r="N1043" i="1"/>
  <c r="N1042" i="1"/>
  <c r="N1041" i="1"/>
  <c r="N1040" i="1"/>
  <c r="N1039" i="1"/>
  <c r="N1038" i="1"/>
  <c r="N1037" i="1"/>
  <c r="N1036" i="1"/>
  <c r="N1035" i="1"/>
  <c r="U1034" i="1"/>
  <c r="Q1033" i="1"/>
  <c r="P1033" i="1"/>
  <c r="O1033" i="1"/>
  <c r="Q1032" i="1"/>
  <c r="P1032" i="1"/>
  <c r="O1032" i="1"/>
  <c r="O1031" i="1"/>
  <c r="O1030" i="1"/>
  <c r="K1029" i="1"/>
  <c r="K1028" i="1"/>
  <c r="Q1027" i="1"/>
  <c r="P1027" i="1"/>
  <c r="O1027" i="1"/>
  <c r="V1026" i="1"/>
  <c r="V1025" i="1"/>
  <c r="V1024" i="1"/>
  <c r="N1023" i="1"/>
  <c r="Q1022" i="1"/>
  <c r="P1022" i="1"/>
  <c r="O1022" i="1"/>
  <c r="O1021" i="1"/>
  <c r="O1020" i="1"/>
  <c r="O1019" i="1"/>
  <c r="O1018" i="1"/>
  <c r="O1017" i="1"/>
  <c r="K1016" i="1"/>
  <c r="N1015" i="1"/>
  <c r="N1014" i="1"/>
  <c r="O1013" i="1"/>
  <c r="O1012" i="1"/>
  <c r="O1011" i="1"/>
  <c r="O1010" i="1"/>
  <c r="T1009" i="1"/>
  <c r="T1008" i="1"/>
  <c r="K1007" i="1"/>
  <c r="K1006" i="1"/>
  <c r="K1005" i="1"/>
  <c r="K1004" i="1"/>
  <c r="K1003" i="1"/>
  <c r="K1002" i="1"/>
  <c r="K1001" i="1"/>
  <c r="K1000" i="1"/>
  <c r="K999" i="1"/>
  <c r="T998" i="1"/>
  <c r="N997" i="1"/>
  <c r="N996" i="1"/>
  <c r="N995" i="1"/>
  <c r="N994" i="1"/>
  <c r="P993" i="1"/>
  <c r="O993" i="1"/>
  <c r="P992" i="1"/>
  <c r="O992" i="1"/>
  <c r="P991" i="1"/>
  <c r="O991" i="1"/>
  <c r="K990" i="1"/>
  <c r="K989" i="1"/>
  <c r="K988" i="1"/>
  <c r="Q987" i="1"/>
  <c r="P987" i="1"/>
  <c r="O987" i="1"/>
  <c r="Q986" i="1"/>
  <c r="P986" i="1"/>
  <c r="O986" i="1"/>
  <c r="N985" i="1"/>
  <c r="N984" i="1"/>
  <c r="O983" i="1"/>
  <c r="O982" i="1"/>
  <c r="O981" i="1"/>
  <c r="T980" i="1"/>
  <c r="O979" i="1"/>
  <c r="O978" i="1"/>
  <c r="O977" i="1"/>
  <c r="O976" i="1"/>
  <c r="T975" i="1"/>
  <c r="K974" i="1"/>
  <c r="K973" i="1"/>
  <c r="K972" i="1"/>
  <c r="N971" i="1"/>
  <c r="O970" i="1"/>
  <c r="O969" i="1"/>
  <c r="T968" i="1"/>
  <c r="T967" i="1"/>
  <c r="T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Q952" i="1"/>
  <c r="P952" i="1"/>
  <c r="O952" i="1"/>
  <c r="N951" i="1"/>
  <c r="Q950" i="1"/>
  <c r="P950" i="1"/>
  <c r="O950" i="1"/>
  <c r="Q949" i="1"/>
  <c r="P949" i="1"/>
  <c r="O949" i="1"/>
  <c r="O948" i="1"/>
  <c r="O947" i="1"/>
  <c r="O946" i="1"/>
  <c r="O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Q931" i="1"/>
  <c r="P931" i="1"/>
  <c r="O931" i="1"/>
  <c r="O930" i="1"/>
  <c r="O929" i="1"/>
  <c r="O928" i="1"/>
  <c r="O927" i="1"/>
  <c r="T926" i="1"/>
  <c r="K925" i="1"/>
  <c r="K924" i="1"/>
  <c r="K923" i="1"/>
  <c r="K922" i="1"/>
  <c r="K921" i="1"/>
  <c r="K920" i="1"/>
  <c r="K919" i="1"/>
  <c r="Q918" i="1"/>
  <c r="P918" i="1"/>
  <c r="Q917" i="1"/>
  <c r="P917" i="1"/>
  <c r="Q916" i="1"/>
  <c r="P916" i="1"/>
  <c r="N915" i="1"/>
  <c r="K914" i="1"/>
  <c r="Q913" i="1"/>
  <c r="P913" i="1"/>
  <c r="O913" i="1"/>
  <c r="T912" i="1"/>
  <c r="Q911" i="1"/>
  <c r="P911" i="1"/>
  <c r="O911" i="1"/>
  <c r="K910" i="1"/>
  <c r="O909" i="1"/>
  <c r="N908" i="1"/>
  <c r="Q907" i="1"/>
  <c r="P907" i="1"/>
  <c r="O907" i="1"/>
  <c r="S906" i="1"/>
  <c r="N905" i="1"/>
  <c r="N904" i="1"/>
  <c r="N903" i="1"/>
  <c r="O902" i="1"/>
  <c r="O901" i="1"/>
  <c r="O900" i="1"/>
  <c r="O899" i="1"/>
  <c r="O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Q879" i="1"/>
  <c r="P879" i="1"/>
  <c r="O879" i="1"/>
  <c r="K878" i="1"/>
  <c r="K877" i="1"/>
  <c r="Q876" i="1"/>
  <c r="P876" i="1"/>
  <c r="O876" i="1"/>
  <c r="Q875" i="1"/>
  <c r="P875" i="1"/>
  <c r="N874" i="1"/>
  <c r="N873" i="1"/>
  <c r="T872" i="1"/>
  <c r="T871" i="1"/>
  <c r="K870" i="1"/>
  <c r="Q869" i="1"/>
  <c r="P869" i="1"/>
  <c r="O869" i="1"/>
  <c r="Q868" i="1"/>
  <c r="P868" i="1"/>
  <c r="O868" i="1"/>
  <c r="Q867" i="1"/>
  <c r="P867" i="1"/>
  <c r="O867" i="1"/>
  <c r="N866" i="1"/>
  <c r="T865" i="1"/>
  <c r="T864" i="1"/>
  <c r="N863" i="1"/>
  <c r="N862" i="1"/>
  <c r="N861" i="1"/>
  <c r="O860" i="1"/>
  <c r="O859" i="1"/>
  <c r="O858" i="1"/>
  <c r="O857" i="1"/>
  <c r="O856" i="1"/>
  <c r="O855" i="1"/>
  <c r="K854" i="1"/>
  <c r="K853" i="1"/>
  <c r="Q852" i="1"/>
  <c r="P852" i="1"/>
  <c r="O852" i="1"/>
  <c r="Q851" i="1"/>
  <c r="P851" i="1"/>
  <c r="Q850" i="1"/>
  <c r="P850" i="1"/>
  <c r="Q849" i="1"/>
  <c r="P849" i="1"/>
  <c r="O848" i="1"/>
  <c r="O847" i="1"/>
  <c r="O846" i="1"/>
  <c r="O845" i="1"/>
  <c r="O844" i="1"/>
  <c r="N843" i="1"/>
  <c r="N842" i="1"/>
  <c r="K841" i="1"/>
  <c r="T840" i="1"/>
  <c r="N839" i="1"/>
  <c r="N838" i="1"/>
  <c r="Q837" i="1"/>
  <c r="P837" i="1"/>
  <c r="O837" i="1"/>
  <c r="Q836" i="1"/>
  <c r="P836" i="1"/>
  <c r="Q835" i="1"/>
  <c r="P835" i="1"/>
  <c r="O834" i="1"/>
  <c r="N833" i="1"/>
  <c r="N832" i="1"/>
  <c r="N831" i="1"/>
  <c r="N830" i="1"/>
  <c r="N829" i="1"/>
  <c r="N828" i="1"/>
  <c r="N827" i="1"/>
  <c r="N826" i="1"/>
  <c r="N825" i="1"/>
  <c r="K824" i="1"/>
  <c r="K823" i="1"/>
  <c r="K822" i="1"/>
  <c r="K821" i="1"/>
  <c r="K820" i="1"/>
  <c r="K819" i="1"/>
  <c r="K818" i="1"/>
  <c r="K817" i="1"/>
  <c r="K816" i="1"/>
  <c r="K815" i="1"/>
  <c r="K814" i="1"/>
  <c r="Q813" i="1"/>
  <c r="P813" i="1"/>
  <c r="Q812" i="1"/>
  <c r="P812" i="1"/>
  <c r="Q811" i="1"/>
  <c r="P811" i="1"/>
  <c r="Q810" i="1"/>
  <c r="P810" i="1"/>
  <c r="Q809" i="1"/>
  <c r="P809" i="1"/>
  <c r="O809" i="1"/>
  <c r="O808" i="1"/>
  <c r="O807" i="1"/>
  <c r="O806" i="1"/>
  <c r="O805" i="1"/>
  <c r="O804" i="1"/>
  <c r="O803" i="1"/>
  <c r="T802" i="1"/>
  <c r="T801" i="1"/>
  <c r="T800" i="1"/>
  <c r="T799" i="1"/>
  <c r="T798" i="1"/>
  <c r="T797" i="1"/>
  <c r="T796" i="1"/>
  <c r="T795" i="1"/>
  <c r="T794" i="1"/>
  <c r="T793" i="1"/>
  <c r="T792" i="1"/>
  <c r="N791" i="1"/>
  <c r="N790" i="1"/>
  <c r="N789" i="1"/>
  <c r="T788" i="1"/>
  <c r="T787" i="1"/>
  <c r="K786" i="1"/>
  <c r="Q785" i="1"/>
  <c r="P785" i="1"/>
  <c r="O785" i="1"/>
  <c r="Q784" i="1"/>
  <c r="P784" i="1"/>
  <c r="O784" i="1"/>
  <c r="Q783" i="1"/>
  <c r="P783" i="1"/>
  <c r="O783" i="1"/>
  <c r="O782" i="1"/>
  <c r="O781" i="1"/>
  <c r="O780" i="1"/>
  <c r="O779" i="1"/>
  <c r="N778" i="1"/>
  <c r="Q777" i="1"/>
  <c r="P777" i="1"/>
  <c r="Q776" i="1"/>
  <c r="P776" i="1"/>
  <c r="N775" i="1"/>
  <c r="N774" i="1"/>
  <c r="K773" i="1"/>
  <c r="O772" i="1"/>
  <c r="Q771" i="1"/>
  <c r="P771" i="1"/>
  <c r="O771" i="1"/>
  <c r="Q770" i="1"/>
  <c r="P770" i="1"/>
  <c r="O770" i="1"/>
  <c r="Q769" i="1"/>
  <c r="P769" i="1"/>
  <c r="O769" i="1"/>
  <c r="K768" i="1"/>
  <c r="S767" i="1"/>
  <c r="O766" i="1"/>
  <c r="Q765" i="1"/>
  <c r="P765" i="1"/>
  <c r="O765" i="1"/>
  <c r="Q764" i="1"/>
  <c r="P764" i="1"/>
  <c r="O764" i="1"/>
  <c r="O763" i="1"/>
  <c r="N762" i="1"/>
  <c r="N761" i="1"/>
  <c r="O760" i="1"/>
  <c r="O759" i="1"/>
  <c r="N758" i="1"/>
  <c r="K757" i="1"/>
  <c r="K756" i="1"/>
  <c r="K755" i="1"/>
  <c r="N754" i="1"/>
  <c r="N753" i="1"/>
  <c r="N752" i="1"/>
  <c r="O751" i="1"/>
  <c r="N750" i="1"/>
  <c r="N749" i="1"/>
  <c r="N748" i="1"/>
  <c r="N747" i="1"/>
  <c r="N746" i="1"/>
  <c r="K745" i="1"/>
  <c r="K744" i="1"/>
  <c r="K743" i="1"/>
  <c r="O742" i="1"/>
  <c r="O741" i="1"/>
  <c r="N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Q719" i="1"/>
  <c r="P719" i="1"/>
  <c r="O719" i="1"/>
  <c r="Q718" i="1"/>
  <c r="P718" i="1"/>
  <c r="O718" i="1"/>
  <c r="Q717" i="1"/>
  <c r="P717" i="1"/>
  <c r="O717" i="1"/>
  <c r="Q716" i="1"/>
  <c r="P716" i="1"/>
  <c r="O716" i="1"/>
  <c r="Q715" i="1"/>
  <c r="P715" i="1"/>
  <c r="Q714" i="1"/>
  <c r="P714" i="1"/>
  <c r="Q713" i="1"/>
  <c r="P713" i="1"/>
  <c r="O712" i="1"/>
  <c r="O711" i="1"/>
  <c r="R710" i="1"/>
  <c r="N709" i="1"/>
  <c r="Q708" i="1"/>
  <c r="P708" i="1"/>
  <c r="O708" i="1"/>
  <c r="Q707" i="1"/>
  <c r="P707" i="1"/>
  <c r="O707" i="1"/>
  <c r="O706" i="1"/>
  <c r="Q705" i="1"/>
  <c r="P705" i="1"/>
  <c r="O705" i="1"/>
  <c r="Q704" i="1"/>
  <c r="P704" i="1"/>
  <c r="O704" i="1"/>
  <c r="T703" i="1"/>
  <c r="K702" i="1"/>
  <c r="K701" i="1"/>
  <c r="K700" i="1"/>
  <c r="K699" i="1"/>
  <c r="N698" i="1"/>
  <c r="N697" i="1"/>
  <c r="T696" i="1"/>
  <c r="T695" i="1"/>
  <c r="T694" i="1"/>
  <c r="S693" i="1"/>
  <c r="N692" i="1"/>
  <c r="K691" i="1"/>
  <c r="K690" i="1"/>
  <c r="K689" i="1"/>
  <c r="K688" i="1"/>
  <c r="K687" i="1"/>
  <c r="K686" i="1"/>
  <c r="T685" i="1"/>
  <c r="Q684" i="1"/>
  <c r="P684" i="1"/>
  <c r="O684" i="1"/>
  <c r="O683" i="1"/>
  <c r="N682" i="1"/>
  <c r="N681" i="1"/>
  <c r="N680" i="1"/>
  <c r="R679" i="1"/>
  <c r="N678" i="1"/>
  <c r="O677" i="1"/>
  <c r="O676" i="1"/>
  <c r="N675" i="1"/>
  <c r="N674" i="1"/>
  <c r="N673" i="1"/>
  <c r="N672" i="1"/>
  <c r="N671" i="1"/>
  <c r="Q670" i="1"/>
  <c r="P670" i="1"/>
  <c r="O670" i="1"/>
  <c r="Q669" i="1"/>
  <c r="P669" i="1"/>
  <c r="O669" i="1"/>
  <c r="O668" i="1"/>
  <c r="Q667" i="1"/>
  <c r="P667" i="1"/>
  <c r="O667" i="1"/>
  <c r="N666" i="1"/>
  <c r="N665" i="1"/>
  <c r="O664" i="1"/>
  <c r="O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O649" i="1"/>
  <c r="Q648" i="1"/>
  <c r="P648" i="1"/>
  <c r="O648" i="1"/>
  <c r="Q647" i="1"/>
  <c r="P647" i="1"/>
  <c r="O647" i="1"/>
  <c r="Q646" i="1"/>
  <c r="P646" i="1"/>
  <c r="O646" i="1"/>
  <c r="O645" i="1"/>
  <c r="O644" i="1"/>
  <c r="Q643" i="1"/>
  <c r="P643" i="1"/>
  <c r="O643" i="1"/>
  <c r="N642" i="1"/>
  <c r="N641" i="1"/>
  <c r="N640" i="1"/>
  <c r="N639" i="1"/>
  <c r="N638" i="1"/>
  <c r="N637" i="1"/>
  <c r="N636" i="1"/>
  <c r="N635" i="1"/>
  <c r="N634" i="1"/>
  <c r="N633" i="1"/>
  <c r="N632" i="1"/>
  <c r="K631" i="1"/>
  <c r="K630" i="1"/>
  <c r="K629" i="1"/>
  <c r="K628" i="1"/>
  <c r="O627" i="1"/>
  <c r="N626" i="1"/>
  <c r="N625" i="1"/>
  <c r="T624" i="1"/>
  <c r="N623" i="1"/>
  <c r="N622" i="1"/>
  <c r="N621" i="1"/>
  <c r="N620" i="1"/>
  <c r="N619" i="1"/>
  <c r="N618" i="1"/>
  <c r="N617" i="1"/>
  <c r="O616" i="1"/>
  <c r="O615" i="1"/>
  <c r="Q614" i="1"/>
  <c r="P614" i="1"/>
  <c r="Q613" i="1"/>
  <c r="P613" i="1"/>
  <c r="O613" i="1"/>
  <c r="O612" i="1"/>
  <c r="N611" i="1"/>
  <c r="Q610" i="1"/>
  <c r="P610" i="1"/>
  <c r="O610" i="1"/>
  <c r="Q609" i="1"/>
  <c r="P609" i="1"/>
  <c r="O609" i="1"/>
  <c r="Q608" i="1"/>
  <c r="P608" i="1"/>
  <c r="O608" i="1"/>
  <c r="Q607" i="1"/>
  <c r="O607" i="1"/>
  <c r="Q606" i="1"/>
  <c r="P606" i="1"/>
  <c r="O606" i="1"/>
  <c r="O605" i="1"/>
  <c r="O604" i="1"/>
  <c r="Q603" i="1"/>
  <c r="P603" i="1"/>
  <c r="O603" i="1"/>
  <c r="Q602" i="1"/>
  <c r="P602" i="1"/>
  <c r="O602" i="1"/>
  <c r="O601" i="1"/>
  <c r="O600" i="1"/>
  <c r="O599" i="1"/>
  <c r="N598" i="1"/>
  <c r="N597" i="1"/>
  <c r="K596" i="1"/>
  <c r="V595" i="1"/>
  <c r="N594" i="1"/>
  <c r="Q593" i="1"/>
  <c r="P593" i="1"/>
  <c r="O593" i="1"/>
  <c r="Q592" i="1"/>
  <c r="P592" i="1"/>
  <c r="O592" i="1"/>
  <c r="Q591" i="1"/>
  <c r="P590" i="1"/>
  <c r="O589" i="1"/>
  <c r="Q588" i="1"/>
  <c r="P588" i="1"/>
  <c r="O588" i="1"/>
  <c r="N587" i="1"/>
  <c r="N586" i="1"/>
  <c r="N585" i="1"/>
  <c r="N584" i="1"/>
  <c r="K583" i="1"/>
  <c r="K582" i="1"/>
  <c r="N581" i="1"/>
  <c r="N580" i="1"/>
  <c r="T579" i="1"/>
  <c r="Q578" i="1"/>
  <c r="O577" i="1"/>
  <c r="Q576" i="1"/>
  <c r="P575" i="1"/>
  <c r="O574" i="1"/>
  <c r="Q573" i="1"/>
  <c r="P573" i="1"/>
  <c r="O573" i="1"/>
  <c r="K572" i="1"/>
  <c r="K571" i="1"/>
  <c r="K570" i="1"/>
  <c r="O569" i="1"/>
  <c r="U568" i="1"/>
  <c r="T567" i="1"/>
  <c r="O566" i="1"/>
  <c r="O565" i="1"/>
  <c r="O564" i="1"/>
  <c r="K563" i="1"/>
  <c r="N562" i="1"/>
  <c r="N561" i="1"/>
  <c r="N560" i="1"/>
  <c r="U559" i="1"/>
  <c r="T558" i="1"/>
  <c r="U557" i="1"/>
  <c r="T556" i="1"/>
  <c r="N555" i="1"/>
  <c r="N554" i="1"/>
  <c r="N553" i="1"/>
  <c r="N552" i="1"/>
  <c r="N551" i="1"/>
  <c r="N550" i="1"/>
  <c r="K549" i="1"/>
  <c r="K548" i="1"/>
  <c r="K547" i="1"/>
  <c r="K546" i="1"/>
  <c r="K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Q526" i="1"/>
  <c r="P526" i="1"/>
  <c r="O526" i="1"/>
  <c r="Q525" i="1"/>
  <c r="P525" i="1"/>
  <c r="O525" i="1"/>
  <c r="N524" i="1"/>
  <c r="N523" i="1"/>
  <c r="N522" i="1"/>
  <c r="N521" i="1"/>
  <c r="O520" i="1"/>
  <c r="O519" i="1"/>
  <c r="Q518" i="1"/>
  <c r="P517" i="1"/>
  <c r="O516" i="1"/>
  <c r="O515" i="1"/>
  <c r="Q514" i="1"/>
  <c r="P514" i="1"/>
  <c r="O514" i="1"/>
  <c r="T513" i="1"/>
  <c r="S512" i="1"/>
  <c r="N511" i="1"/>
  <c r="N510" i="1"/>
  <c r="O509" i="1"/>
  <c r="K508" i="1"/>
  <c r="O507" i="1"/>
  <c r="O506" i="1"/>
  <c r="O505" i="1"/>
  <c r="K504" i="1"/>
  <c r="K503" i="1"/>
  <c r="K502" i="1"/>
  <c r="U501" i="1"/>
  <c r="U500" i="1"/>
  <c r="K499" i="1"/>
  <c r="K498" i="1"/>
  <c r="N497" i="1"/>
  <c r="N496" i="1"/>
  <c r="N495" i="1"/>
  <c r="O494" i="1"/>
  <c r="K493" i="1"/>
  <c r="N492" i="1"/>
  <c r="K491" i="1"/>
  <c r="K490" i="1"/>
  <c r="K489" i="1"/>
  <c r="N488" i="1"/>
  <c r="N487" i="1"/>
  <c r="K486" i="1"/>
  <c r="K485" i="1"/>
  <c r="K484" i="1"/>
  <c r="K483" i="1"/>
  <c r="N482" i="1"/>
  <c r="N481" i="1"/>
  <c r="N480" i="1"/>
  <c r="N479" i="1"/>
  <c r="N478" i="1"/>
  <c r="N477" i="1"/>
  <c r="Q476" i="1"/>
  <c r="P476" i="1"/>
  <c r="O476" i="1"/>
  <c r="Q475" i="1"/>
  <c r="P475" i="1"/>
  <c r="O475" i="1"/>
  <c r="Q474" i="1"/>
  <c r="P474" i="1"/>
  <c r="O474" i="1"/>
  <c r="O473" i="1"/>
  <c r="N472" i="1"/>
  <c r="K471" i="1"/>
  <c r="K470" i="1"/>
  <c r="N469" i="1"/>
  <c r="K468" i="1"/>
  <c r="K467" i="1"/>
  <c r="K466" i="1"/>
  <c r="K465" i="1"/>
  <c r="K464" i="1"/>
  <c r="N462" i="1"/>
  <c r="N461" i="1"/>
  <c r="O460" i="1"/>
  <c r="N459" i="1"/>
  <c r="N458" i="1"/>
  <c r="N457" i="1"/>
  <c r="Q456" i="1"/>
  <c r="P456" i="1"/>
  <c r="O456" i="1"/>
  <c r="Q455" i="1"/>
  <c r="P455" i="1"/>
  <c r="O455" i="1"/>
  <c r="Q454" i="1"/>
  <c r="P454" i="1"/>
  <c r="Q453" i="1"/>
  <c r="P453" i="1"/>
  <c r="Q452" i="1"/>
  <c r="P452" i="1"/>
  <c r="O451" i="1"/>
  <c r="O450" i="1"/>
  <c r="O449" i="1"/>
  <c r="O448" i="1"/>
  <c r="O447" i="1"/>
  <c r="P446" i="1"/>
  <c r="O446" i="1"/>
  <c r="O445" i="1"/>
  <c r="Q444" i="1"/>
  <c r="P444" i="1"/>
  <c r="O444" i="1"/>
  <c r="O443" i="1"/>
  <c r="O442" i="1"/>
  <c r="Q441" i="1"/>
  <c r="P441" i="1"/>
  <c r="O441" i="1"/>
  <c r="Q440" i="1"/>
  <c r="P440" i="1"/>
  <c r="O440" i="1"/>
  <c r="Q439" i="1"/>
  <c r="P439" i="1"/>
  <c r="O439" i="1"/>
  <c r="O438" i="1"/>
  <c r="O437" i="1"/>
  <c r="O436" i="1"/>
  <c r="O435" i="1"/>
  <c r="O434" i="1"/>
  <c r="O433" i="1"/>
  <c r="O432" i="1"/>
  <c r="O431" i="1"/>
  <c r="Q430" i="1"/>
  <c r="P430" i="1"/>
  <c r="O430" i="1"/>
  <c r="Q429" i="1"/>
  <c r="P429" i="1"/>
  <c r="O429" i="1"/>
  <c r="Q428" i="1"/>
  <c r="P428" i="1"/>
  <c r="Q427" i="1"/>
  <c r="P427" i="1"/>
  <c r="O427" i="1"/>
  <c r="Q426" i="1"/>
  <c r="P426" i="1"/>
  <c r="O426" i="1"/>
  <c r="Q425" i="1"/>
  <c r="P425" i="1"/>
  <c r="O425" i="1"/>
  <c r="Q424" i="1"/>
  <c r="P424" i="1"/>
  <c r="O424" i="1"/>
  <c r="Q423" i="1"/>
  <c r="P423" i="1"/>
  <c r="O423" i="1"/>
  <c r="Q422" i="1"/>
  <c r="P422" i="1"/>
  <c r="O422" i="1"/>
  <c r="Q421" i="1"/>
  <c r="P421" i="1"/>
  <c r="O421" i="1"/>
  <c r="Q420" i="1"/>
  <c r="P420" i="1"/>
  <c r="O420" i="1"/>
  <c r="Q419" i="1"/>
  <c r="P419" i="1"/>
  <c r="O419" i="1"/>
  <c r="Q418" i="1"/>
  <c r="P418" i="1"/>
  <c r="O418" i="1"/>
  <c r="Q417" i="1"/>
  <c r="P417" i="1"/>
  <c r="O417" i="1"/>
  <c r="Q416" i="1"/>
  <c r="P416" i="1"/>
  <c r="O416" i="1"/>
  <c r="O415" i="1"/>
  <c r="O414" i="1"/>
  <c r="O413" i="1"/>
  <c r="O412" i="1"/>
  <c r="O411" i="1"/>
  <c r="Q410" i="1"/>
  <c r="P410" i="1"/>
  <c r="Q409" i="1"/>
  <c r="P409" i="1"/>
  <c r="Q408" i="1"/>
  <c r="P408" i="1"/>
  <c r="O407" i="1"/>
  <c r="Q406" i="1"/>
  <c r="P406" i="1"/>
  <c r="Q405" i="1"/>
  <c r="P405" i="1"/>
  <c r="O405" i="1"/>
  <c r="Q404" i="1"/>
  <c r="P404" i="1"/>
  <c r="Q403" i="1"/>
  <c r="P403" i="1"/>
  <c r="Q402" i="1"/>
  <c r="P402" i="1"/>
  <c r="Q401" i="1"/>
  <c r="P401" i="1"/>
  <c r="Q400" i="1"/>
  <c r="P400" i="1"/>
  <c r="O400" i="1"/>
  <c r="Q399" i="1"/>
  <c r="P399" i="1"/>
  <c r="O399" i="1"/>
  <c r="O398" i="1"/>
  <c r="O397" i="1"/>
  <c r="Q396" i="1"/>
  <c r="P396" i="1"/>
  <c r="O396" i="1"/>
  <c r="Q395" i="1"/>
  <c r="P395" i="1"/>
  <c r="O395" i="1"/>
  <c r="Q394" i="1"/>
  <c r="P394" i="1"/>
  <c r="O394" i="1"/>
  <c r="Q393" i="1"/>
  <c r="O392" i="1"/>
  <c r="Q391" i="1"/>
  <c r="P391" i="1"/>
  <c r="O391" i="1"/>
  <c r="Q390" i="1"/>
  <c r="P390" i="1"/>
  <c r="O390" i="1"/>
  <c r="O389" i="1"/>
  <c r="O388" i="1"/>
  <c r="O387" i="1"/>
  <c r="O386" i="1"/>
  <c r="O385" i="1"/>
  <c r="O384" i="1"/>
  <c r="Q383" i="1"/>
  <c r="P383" i="1"/>
  <c r="O383" i="1"/>
  <c r="Q382" i="1"/>
  <c r="P382" i="1"/>
  <c r="O382" i="1"/>
  <c r="O381" i="1"/>
  <c r="O380" i="1"/>
  <c r="O379" i="1"/>
  <c r="Q378" i="1"/>
  <c r="P378" i="1"/>
  <c r="O378" i="1"/>
  <c r="Q377" i="1"/>
  <c r="P377" i="1"/>
  <c r="O376" i="1"/>
  <c r="Q375" i="1"/>
  <c r="P375" i="1"/>
  <c r="O375" i="1"/>
  <c r="Q374" i="1"/>
  <c r="Q373" i="1"/>
  <c r="P373" i="1"/>
  <c r="O373" i="1"/>
  <c r="Q372" i="1"/>
  <c r="P372" i="1"/>
  <c r="O372" i="1"/>
  <c r="O371" i="1"/>
  <c r="Q370" i="1"/>
  <c r="P370" i="1"/>
  <c r="O370" i="1"/>
  <c r="O369" i="1"/>
  <c r="O368" i="1"/>
  <c r="O367" i="1"/>
  <c r="O366" i="1"/>
  <c r="O365" i="1"/>
  <c r="Q364" i="1"/>
  <c r="P364" i="1"/>
  <c r="O364" i="1"/>
  <c r="Q363" i="1"/>
  <c r="P363" i="1"/>
  <c r="O363" i="1"/>
  <c r="Q362" i="1"/>
  <c r="P362" i="1"/>
  <c r="O362" i="1"/>
  <c r="Q361" i="1"/>
  <c r="P361" i="1"/>
  <c r="O361" i="1"/>
  <c r="Q360" i="1"/>
  <c r="P360" i="1"/>
  <c r="O360" i="1"/>
  <c r="O359" i="1"/>
  <c r="Q358" i="1"/>
  <c r="P358" i="1"/>
  <c r="O358" i="1"/>
  <c r="Q357" i="1"/>
  <c r="P357" i="1"/>
  <c r="O357" i="1"/>
  <c r="O356" i="1"/>
  <c r="O355" i="1"/>
  <c r="O354" i="1"/>
  <c r="O353" i="1"/>
  <c r="O352" i="1"/>
  <c r="O351" i="1"/>
  <c r="Q350" i="1"/>
  <c r="P350" i="1"/>
  <c r="Q349" i="1"/>
  <c r="P349" i="1"/>
  <c r="O349" i="1"/>
  <c r="O348" i="1"/>
  <c r="O347" i="1"/>
  <c r="O346" i="1"/>
  <c r="Q345" i="1"/>
  <c r="P345" i="1"/>
  <c r="O345" i="1"/>
  <c r="O344" i="1"/>
  <c r="Q343" i="1"/>
  <c r="P343" i="1"/>
  <c r="O343" i="1"/>
  <c r="Q342" i="1"/>
  <c r="P342" i="1"/>
  <c r="O342" i="1"/>
  <c r="O341" i="1"/>
  <c r="O340" i="1"/>
  <c r="O339" i="1"/>
  <c r="P338" i="1"/>
  <c r="O338" i="1"/>
  <c r="O337" i="1"/>
  <c r="O336" i="1"/>
  <c r="P335" i="1"/>
  <c r="O335" i="1"/>
  <c r="P334" i="1"/>
  <c r="O334" i="1"/>
  <c r="P333" i="1"/>
  <c r="O333" i="1"/>
  <c r="P332" i="1"/>
  <c r="O332" i="1"/>
  <c r="Q331" i="1"/>
  <c r="P331" i="1"/>
  <c r="Q330" i="1"/>
  <c r="O330" i="1"/>
  <c r="Q329" i="1"/>
  <c r="P329" i="1"/>
  <c r="O329" i="1"/>
  <c r="Q328" i="1"/>
  <c r="Q327" i="1"/>
  <c r="P327" i="1"/>
  <c r="O327" i="1"/>
  <c r="O326" i="1"/>
  <c r="O325" i="1"/>
  <c r="O324" i="1"/>
  <c r="O323" i="1"/>
  <c r="Q322" i="1"/>
  <c r="P322" i="1"/>
  <c r="O322" i="1"/>
  <c r="O321" i="1"/>
  <c r="Q320" i="1"/>
  <c r="P320" i="1"/>
  <c r="O319" i="1"/>
  <c r="Q318" i="1"/>
  <c r="P318" i="1"/>
  <c r="O318" i="1"/>
  <c r="Q317" i="1"/>
  <c r="P317" i="1"/>
  <c r="O317" i="1"/>
  <c r="Q316" i="1"/>
  <c r="P316" i="1"/>
  <c r="O316" i="1"/>
  <c r="Q315" i="1"/>
  <c r="P315" i="1"/>
  <c r="Q314" i="1"/>
  <c r="P314" i="1"/>
  <c r="Q313" i="1"/>
  <c r="P313" i="1"/>
  <c r="O313" i="1"/>
  <c r="Q312" i="1"/>
  <c r="P312" i="1"/>
  <c r="O312" i="1"/>
  <c r="Q311" i="1"/>
  <c r="P311" i="1"/>
  <c r="P310" i="1"/>
  <c r="P309" i="1"/>
  <c r="O308" i="1"/>
  <c r="Q307" i="1"/>
  <c r="P307" i="1"/>
  <c r="O307" i="1"/>
  <c r="Q306" i="1"/>
  <c r="P306" i="1"/>
  <c r="O306" i="1"/>
  <c r="Q305" i="1"/>
  <c r="P305" i="1"/>
  <c r="O304" i="1"/>
  <c r="K303" i="1"/>
  <c r="K302" i="1"/>
  <c r="K301" i="1"/>
  <c r="K3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T57" i="1"/>
  <c r="U56" i="1"/>
  <c r="T55" i="1"/>
  <c r="N54" i="1"/>
  <c r="Q53" i="1"/>
  <c r="P53" i="1"/>
  <c r="O53" i="1"/>
  <c r="R52" i="1"/>
  <c r="N51" i="1"/>
  <c r="R50" i="1"/>
  <c r="R49" i="1"/>
  <c r="R48" i="1"/>
  <c r="R47" i="1"/>
  <c r="R46" i="1"/>
  <c r="K45" i="1"/>
  <c r="N44" i="1"/>
  <c r="R43" i="1"/>
  <c r="R42" i="1"/>
  <c r="R41" i="1"/>
  <c r="R40" i="1"/>
  <c r="R39" i="1"/>
  <c r="R38" i="1"/>
  <c r="R37" i="1"/>
  <c r="Q36" i="1"/>
  <c r="P36" i="1"/>
  <c r="O36" i="1"/>
  <c r="V35" i="1"/>
  <c r="V34" i="1"/>
  <c r="R33" i="1"/>
  <c r="N32" i="1"/>
  <c r="N31" i="1"/>
  <c r="V30" i="1"/>
  <c r="Q29" i="1"/>
  <c r="P29" i="1"/>
  <c r="R27" i="1"/>
  <c r="N26" i="1"/>
  <c r="N25" i="1"/>
  <c r="N24" i="1"/>
  <c r="Q23" i="1"/>
  <c r="P22" i="1"/>
  <c r="N21" i="1"/>
  <c r="Q20" i="1"/>
  <c r="P19" i="1"/>
  <c r="N18" i="1"/>
  <c r="R17" i="1"/>
  <c r="R16" i="1"/>
  <c r="O15" i="1"/>
  <c r="N14" i="1"/>
  <c r="R13" i="1"/>
  <c r="N12" i="1"/>
  <c r="R11" i="1"/>
  <c r="R10" i="1"/>
  <c r="Q9" i="1"/>
  <c r="P9" i="1"/>
  <c r="O9" i="1"/>
  <c r="N8" i="1"/>
  <c r="R7" i="1"/>
  <c r="Q6" i="1"/>
  <c r="P6" i="1"/>
  <c r="O6" i="1"/>
  <c r="R5" i="1"/>
  <c r="R4" i="1"/>
  <c r="R3" i="1"/>
  <c r="S76" i="2" l="1"/>
  <c r="N76" i="2"/>
  <c r="S75" i="2"/>
  <c r="N75" i="2"/>
  <c r="M75" i="2"/>
  <c r="L75" i="2"/>
  <c r="K75" i="2"/>
  <c r="J75" i="2"/>
  <c r="I75" i="2"/>
  <c r="S74" i="2"/>
  <c r="N74" i="2"/>
  <c r="M74" i="2"/>
  <c r="L74" i="2"/>
  <c r="K74" i="2"/>
  <c r="J74" i="2"/>
  <c r="I74" i="2"/>
  <c r="H74" i="2"/>
  <c r="R73" i="2"/>
  <c r="M73" i="2"/>
  <c r="L73" i="2"/>
  <c r="K73" i="2"/>
  <c r="J73" i="2"/>
  <c r="I73" i="2"/>
  <c r="H73" i="2"/>
  <c r="R72" i="2"/>
  <c r="M72" i="2"/>
  <c r="L72" i="2"/>
  <c r="K72" i="2"/>
  <c r="J72" i="2"/>
  <c r="I72" i="2"/>
  <c r="H72" i="2"/>
  <c r="X71" i="2"/>
  <c r="W71" i="2"/>
  <c r="V71" i="2"/>
  <c r="U71" i="2"/>
  <c r="T71" i="2"/>
  <c r="S71" i="2"/>
  <c r="R71" i="2"/>
  <c r="N71" i="2"/>
  <c r="M71" i="2"/>
  <c r="L71" i="2"/>
  <c r="K71" i="2"/>
  <c r="J71" i="2"/>
  <c r="I71" i="2"/>
  <c r="H71" i="2"/>
  <c r="X70" i="2"/>
  <c r="W70" i="2"/>
  <c r="V70" i="2"/>
  <c r="U70" i="2"/>
  <c r="T70" i="2"/>
  <c r="S70" i="2"/>
  <c r="R70" i="2"/>
  <c r="N70" i="2"/>
  <c r="M70" i="2"/>
  <c r="L70" i="2"/>
  <c r="K70" i="2"/>
  <c r="J70" i="2"/>
  <c r="I70" i="2"/>
  <c r="H70" i="2"/>
  <c r="R67" i="2"/>
  <c r="N67" i="2"/>
  <c r="M67" i="2"/>
  <c r="L67" i="2"/>
  <c r="K67" i="2"/>
  <c r="J67" i="2"/>
  <c r="I67" i="2"/>
  <c r="H67" i="2"/>
  <c r="R66" i="2"/>
  <c r="N66" i="2"/>
  <c r="M66" i="2"/>
  <c r="L66" i="2"/>
  <c r="K66" i="2"/>
  <c r="J66" i="2"/>
  <c r="I66" i="2"/>
  <c r="H66" i="2"/>
  <c r="R65" i="2"/>
  <c r="N65" i="2"/>
  <c r="M65" i="2"/>
  <c r="L65" i="2"/>
  <c r="K65" i="2"/>
  <c r="J65" i="2"/>
  <c r="I65" i="2"/>
  <c r="H65" i="2"/>
  <c r="R64" i="2"/>
  <c r="N64" i="2"/>
  <c r="M64" i="2"/>
  <c r="L64" i="2"/>
  <c r="K64" i="2"/>
  <c r="J64" i="2"/>
  <c r="I64" i="2"/>
  <c r="H64" i="2"/>
  <c r="R63" i="2"/>
  <c r="N63" i="2"/>
  <c r="M63" i="2"/>
  <c r="L63" i="2"/>
  <c r="K63" i="2"/>
  <c r="J63" i="2"/>
  <c r="I63" i="2"/>
  <c r="H63" i="2"/>
  <c r="Q62" i="2"/>
  <c r="P62" i="2"/>
  <c r="N62" i="2"/>
  <c r="L62" i="2"/>
  <c r="K62" i="2"/>
  <c r="I62" i="2"/>
  <c r="H62" i="2"/>
  <c r="Q61" i="2"/>
  <c r="P61" i="2"/>
  <c r="N61" i="2"/>
  <c r="L61" i="2"/>
  <c r="K61" i="2"/>
  <c r="I61" i="2"/>
  <c r="H61" i="2"/>
  <c r="R60" i="2"/>
  <c r="Q60" i="2"/>
  <c r="P60" i="2"/>
  <c r="N60" i="2"/>
  <c r="M60" i="2"/>
  <c r="L60" i="2"/>
  <c r="K60" i="2"/>
  <c r="J60" i="2"/>
  <c r="I60" i="2"/>
  <c r="H60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X58" i="2"/>
  <c r="W58" i="2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X57" i="2"/>
  <c r="W57" i="2"/>
  <c r="V57" i="2"/>
  <c r="U57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R56" i="2"/>
  <c r="Q56" i="2"/>
  <c r="P56" i="2"/>
  <c r="O56" i="2"/>
  <c r="N56" i="2"/>
  <c r="M56" i="2"/>
  <c r="L56" i="2"/>
  <c r="K56" i="2"/>
  <c r="J56" i="2"/>
  <c r="I56" i="2"/>
  <c r="H56" i="2"/>
  <c r="R55" i="2"/>
  <c r="Q55" i="2"/>
  <c r="P55" i="2"/>
  <c r="O55" i="2"/>
  <c r="N55" i="2"/>
  <c r="M55" i="2"/>
  <c r="L55" i="2"/>
  <c r="K55" i="2"/>
  <c r="J55" i="2"/>
  <c r="I55" i="2"/>
  <c r="H55" i="2"/>
  <c r="R54" i="2"/>
  <c r="Q54" i="2"/>
  <c r="P54" i="2"/>
  <c r="O54" i="2"/>
  <c r="N54" i="2"/>
  <c r="M54" i="2"/>
  <c r="L54" i="2"/>
  <c r="K54" i="2"/>
  <c r="J54" i="2"/>
  <c r="I54" i="2"/>
  <c r="H54" i="2"/>
  <c r="R53" i="2"/>
  <c r="Q53" i="2"/>
  <c r="P53" i="2"/>
  <c r="O53" i="2"/>
  <c r="N53" i="2"/>
  <c r="M53" i="2"/>
  <c r="L53" i="2"/>
  <c r="K53" i="2"/>
  <c r="J53" i="2"/>
  <c r="I53" i="2"/>
  <c r="H53" i="2"/>
  <c r="X52" i="2"/>
  <c r="W52" i="2"/>
  <c r="V52" i="2"/>
  <c r="U52" i="2"/>
  <c r="T52" i="2"/>
  <c r="Q52" i="2"/>
  <c r="P52" i="2"/>
  <c r="N52" i="2"/>
  <c r="M52" i="2"/>
  <c r="L52" i="2"/>
  <c r="K52" i="2"/>
  <c r="J52" i="2"/>
  <c r="I52" i="2"/>
  <c r="H52" i="2"/>
  <c r="X48" i="2"/>
  <c r="W48" i="2"/>
  <c r="V48" i="2"/>
  <c r="U48" i="2"/>
  <c r="T48" i="2"/>
  <c r="R48" i="2"/>
  <c r="Q48" i="2"/>
  <c r="P48" i="2"/>
  <c r="O48" i="2"/>
  <c r="N48" i="2"/>
  <c r="M48" i="2"/>
  <c r="L48" i="2"/>
  <c r="K48" i="2"/>
  <c r="J48" i="2"/>
  <c r="I48" i="2"/>
  <c r="H48" i="2"/>
  <c r="X47" i="2"/>
  <c r="W47" i="2"/>
  <c r="V47" i="2"/>
  <c r="U47" i="2"/>
  <c r="T47" i="2"/>
  <c r="R47" i="2"/>
  <c r="Q47" i="2"/>
  <c r="P47" i="2"/>
  <c r="O47" i="2"/>
  <c r="N47" i="2"/>
  <c r="M47" i="2"/>
  <c r="L47" i="2"/>
  <c r="K47" i="2"/>
  <c r="J47" i="2"/>
  <c r="I47" i="2"/>
  <c r="H47" i="2"/>
  <c r="X46" i="2"/>
  <c r="W46" i="2"/>
  <c r="V46" i="2"/>
  <c r="U46" i="2"/>
  <c r="T46" i="2"/>
  <c r="R46" i="2"/>
  <c r="Q46" i="2"/>
  <c r="P46" i="2"/>
  <c r="N46" i="2"/>
  <c r="L46" i="2"/>
  <c r="K46" i="2"/>
  <c r="I46" i="2"/>
  <c r="H46" i="2"/>
  <c r="X45" i="2"/>
  <c r="W45" i="2"/>
  <c r="V45" i="2"/>
  <c r="U45" i="2"/>
  <c r="T45" i="2"/>
  <c r="R45" i="2"/>
  <c r="Q45" i="2"/>
  <c r="P45" i="2"/>
  <c r="O45" i="2"/>
  <c r="N45" i="2"/>
  <c r="M45" i="2"/>
  <c r="L45" i="2"/>
  <c r="K45" i="2"/>
  <c r="J45" i="2"/>
  <c r="I45" i="2"/>
  <c r="H45" i="2"/>
  <c r="X44" i="2"/>
  <c r="W44" i="2"/>
  <c r="V44" i="2"/>
  <c r="U44" i="2"/>
  <c r="T44" i="2"/>
  <c r="R44" i="2"/>
  <c r="Q44" i="2"/>
  <c r="P44" i="2"/>
  <c r="O44" i="2"/>
  <c r="N44" i="2"/>
  <c r="M44" i="2"/>
  <c r="L44" i="2"/>
  <c r="K44" i="2"/>
  <c r="J44" i="2"/>
  <c r="I44" i="2"/>
  <c r="H44" i="2"/>
  <c r="X43" i="2"/>
  <c r="W43" i="2"/>
  <c r="V43" i="2"/>
  <c r="U43" i="2"/>
  <c r="T43" i="2"/>
  <c r="R43" i="2"/>
  <c r="Q43" i="2"/>
  <c r="P43" i="2"/>
  <c r="O43" i="2"/>
  <c r="N43" i="2"/>
  <c r="M43" i="2"/>
  <c r="L43" i="2"/>
  <c r="K43" i="2"/>
  <c r="J43" i="2"/>
  <c r="I43" i="2"/>
  <c r="H43" i="2"/>
  <c r="X42" i="2"/>
  <c r="W42" i="2"/>
  <c r="V42" i="2"/>
  <c r="U42" i="2"/>
  <c r="T42" i="2"/>
  <c r="R42" i="2"/>
  <c r="Q42" i="2"/>
  <c r="P42" i="2"/>
  <c r="X41" i="2"/>
  <c r="W41" i="2"/>
  <c r="V41" i="2"/>
  <c r="U41" i="2"/>
  <c r="T41" i="2"/>
  <c r="R41" i="2"/>
  <c r="Q41" i="2"/>
  <c r="P41" i="2"/>
  <c r="O41" i="2"/>
  <c r="N41" i="2"/>
  <c r="M41" i="2"/>
  <c r="L41" i="2"/>
  <c r="K41" i="2"/>
  <c r="J41" i="2"/>
  <c r="I41" i="2"/>
  <c r="H41" i="2"/>
  <c r="P40" i="2"/>
  <c r="N40" i="2"/>
  <c r="M40" i="2"/>
  <c r="L40" i="2"/>
  <c r="K40" i="2"/>
  <c r="J40" i="2"/>
  <c r="I40" i="2"/>
  <c r="H40" i="2"/>
  <c r="P39" i="2"/>
  <c r="N39" i="2"/>
  <c r="M39" i="2"/>
  <c r="L39" i="2"/>
  <c r="K39" i="2"/>
  <c r="J39" i="2"/>
  <c r="I39" i="2"/>
  <c r="H39" i="2"/>
  <c r="S36" i="2"/>
  <c r="N36" i="2"/>
  <c r="L36" i="2"/>
  <c r="K36" i="2"/>
  <c r="I36" i="2"/>
  <c r="H36" i="2"/>
  <c r="R35" i="2"/>
  <c r="P35" i="2"/>
  <c r="N35" i="2"/>
  <c r="R34" i="2"/>
  <c r="P34" i="2"/>
  <c r="N34" i="2"/>
  <c r="P33" i="2"/>
  <c r="N33" i="2"/>
  <c r="X32" i="2"/>
  <c r="W32" i="2"/>
  <c r="V32" i="2"/>
  <c r="U32" i="2"/>
  <c r="T32" i="2"/>
  <c r="P32" i="2"/>
  <c r="N32" i="2"/>
  <c r="X31" i="2"/>
  <c r="W31" i="2"/>
  <c r="V31" i="2"/>
  <c r="U31" i="2"/>
  <c r="T31" i="2"/>
  <c r="P31" i="2"/>
  <c r="N31" i="2"/>
  <c r="X30" i="2"/>
  <c r="W30" i="2"/>
  <c r="V30" i="2"/>
  <c r="U30" i="2"/>
  <c r="T30" i="2"/>
  <c r="R30" i="2"/>
  <c r="P30" i="2"/>
  <c r="L30" i="2"/>
  <c r="K30" i="2"/>
  <c r="I30" i="2"/>
  <c r="H30" i="2"/>
  <c r="P29" i="2"/>
  <c r="N29" i="2"/>
  <c r="L29" i="2"/>
  <c r="K29" i="2"/>
  <c r="I29" i="2"/>
  <c r="H29" i="2"/>
  <c r="X28" i="2"/>
  <c r="W28" i="2"/>
  <c r="V28" i="2"/>
  <c r="U28" i="2"/>
  <c r="T28" i="2"/>
  <c r="R28" i="2"/>
  <c r="Q28" i="2"/>
  <c r="P28" i="2"/>
  <c r="N28" i="2"/>
  <c r="M28" i="2"/>
  <c r="L28" i="2"/>
  <c r="K28" i="2"/>
  <c r="J28" i="2"/>
  <c r="I28" i="2"/>
  <c r="H28" i="2"/>
  <c r="X27" i="2"/>
  <c r="W27" i="2"/>
  <c r="V27" i="2"/>
  <c r="U27" i="2"/>
  <c r="T27" i="2"/>
  <c r="R27" i="2"/>
  <c r="Q27" i="2"/>
  <c r="P27" i="2"/>
  <c r="N27" i="2"/>
  <c r="M27" i="2"/>
  <c r="L27" i="2"/>
  <c r="K27" i="2"/>
  <c r="J27" i="2"/>
  <c r="I27" i="2"/>
  <c r="H27" i="2"/>
  <c r="S25" i="2"/>
  <c r="R25" i="2"/>
  <c r="P25" i="2"/>
  <c r="N25" i="2"/>
  <c r="M25" i="2"/>
  <c r="L25" i="2"/>
  <c r="K25" i="2"/>
  <c r="J25" i="2"/>
  <c r="I25" i="2"/>
  <c r="H25" i="2"/>
  <c r="R24" i="2"/>
  <c r="M24" i="2"/>
  <c r="L24" i="2"/>
  <c r="K24" i="2"/>
  <c r="J24" i="2"/>
  <c r="I24" i="2"/>
  <c r="H24" i="2"/>
  <c r="S23" i="2"/>
  <c r="R23" i="2"/>
  <c r="Q23" i="2"/>
  <c r="P23" i="2"/>
  <c r="N23" i="2"/>
  <c r="M23" i="2"/>
  <c r="L23" i="2"/>
  <c r="K23" i="2"/>
  <c r="J23" i="2"/>
  <c r="I23" i="2"/>
  <c r="H23" i="2"/>
  <c r="S22" i="2"/>
  <c r="R22" i="2"/>
  <c r="Q22" i="2"/>
  <c r="P22" i="2"/>
  <c r="N22" i="2"/>
  <c r="M22" i="2"/>
  <c r="L22" i="2"/>
  <c r="K22" i="2"/>
  <c r="J22" i="2"/>
  <c r="I22" i="2"/>
  <c r="H22" i="2"/>
  <c r="S21" i="2"/>
  <c r="R21" i="2"/>
  <c r="Q21" i="2"/>
  <c r="P21" i="2"/>
  <c r="N21" i="2"/>
  <c r="M21" i="2"/>
  <c r="L21" i="2"/>
  <c r="K21" i="2"/>
  <c r="J21" i="2"/>
  <c r="I21" i="2"/>
  <c r="H21" i="2"/>
  <c r="S20" i="2"/>
  <c r="R20" i="2"/>
  <c r="Q20" i="2"/>
  <c r="P20" i="2"/>
  <c r="N20" i="2"/>
  <c r="M20" i="2"/>
  <c r="L20" i="2"/>
  <c r="K20" i="2"/>
  <c r="J20" i="2"/>
  <c r="I20" i="2"/>
  <c r="H20" i="2"/>
  <c r="S19" i="2"/>
  <c r="R19" i="2"/>
  <c r="Q19" i="2"/>
  <c r="P19" i="2"/>
  <c r="N19" i="2"/>
  <c r="M19" i="2"/>
  <c r="L19" i="2"/>
  <c r="K19" i="2"/>
  <c r="J19" i="2"/>
  <c r="I19" i="2"/>
  <c r="H19" i="2"/>
  <c r="S18" i="2"/>
  <c r="R18" i="2"/>
  <c r="P18" i="2"/>
  <c r="N18" i="2"/>
  <c r="M18" i="2"/>
  <c r="L18" i="2"/>
  <c r="K18" i="2"/>
  <c r="J18" i="2"/>
  <c r="I18" i="2"/>
  <c r="H18" i="2"/>
  <c r="X17" i="2"/>
  <c r="W17" i="2"/>
  <c r="V17" i="2"/>
  <c r="U17" i="2"/>
  <c r="T17" i="2"/>
  <c r="R17" i="2"/>
  <c r="Q17" i="2"/>
  <c r="P17" i="2"/>
  <c r="N17" i="2"/>
  <c r="M17" i="2"/>
  <c r="L17" i="2"/>
  <c r="K17" i="2"/>
  <c r="J17" i="2"/>
  <c r="I17" i="2"/>
  <c r="H17" i="2"/>
  <c r="X16" i="2"/>
  <c r="W16" i="2"/>
  <c r="V16" i="2"/>
  <c r="U16" i="2"/>
  <c r="T16" i="2"/>
  <c r="R16" i="2"/>
  <c r="Q16" i="2"/>
  <c r="P16" i="2"/>
  <c r="N16" i="2"/>
  <c r="M16" i="2"/>
  <c r="L16" i="2"/>
  <c r="K16" i="2"/>
  <c r="J16" i="2"/>
  <c r="I16" i="2"/>
  <c r="H16" i="2"/>
  <c r="N15" i="2"/>
  <c r="K15" i="2"/>
  <c r="H15" i="2"/>
  <c r="N14" i="2"/>
  <c r="M14" i="2"/>
  <c r="K14" i="2"/>
  <c r="J14" i="2"/>
  <c r="H14" i="2"/>
  <c r="S13" i="2"/>
  <c r="P12" i="2"/>
  <c r="P11" i="2"/>
  <c r="P10" i="2"/>
  <c r="P9" i="2"/>
  <c r="S8" i="2"/>
  <c r="P8" i="2"/>
  <c r="S7" i="2"/>
  <c r="P7" i="2"/>
  <c r="P6" i="2"/>
  <c r="P5" i="2"/>
  <c r="P4" i="2"/>
  <c r="P3" i="2"/>
  <c r="P2" i="2"/>
  <c r="E14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연결" type="4" refreshedVersion="8" background="1" saveData="1">
    <webPr sourceData="1" parsePre="1" consecutive="1" xl2000="1" url="http://www.lxhausys.co.kr/upload/window/Recent.html"/>
  </connection>
</connections>
</file>

<file path=xl/sharedStrings.xml><?xml version="1.0" encoding="utf-8"?>
<sst xmlns="http://schemas.openxmlformats.org/spreadsheetml/2006/main" count="40303" uniqueCount="1700">
  <si>
    <t>완성창제품</t>
  </si>
  <si>
    <t>자재판매제품</t>
  </si>
  <si>
    <t>시험항목</t>
  </si>
  <si>
    <t>외측하부유리</t>
  </si>
  <si>
    <t>내측하부유리</t>
  </si>
  <si>
    <t>유리특기</t>
  </si>
  <si>
    <t>에너지등급</t>
  </si>
  <si>
    <t>에너지_단열</t>
  </si>
  <si>
    <t>에너지_기밀</t>
  </si>
  <si>
    <t>기밀(역학)</t>
  </si>
  <si>
    <t>수밀(역학)</t>
  </si>
  <si>
    <t>내풍압(역학)</t>
  </si>
  <si>
    <t>차음</t>
  </si>
  <si>
    <t>결로1지역</t>
  </si>
  <si>
    <t>결로2지역</t>
  </si>
  <si>
    <t>결로3지역</t>
  </si>
  <si>
    <t>방범</t>
  </si>
  <si>
    <t>사이즈</t>
  </si>
  <si>
    <t>PTT70IN</t>
  </si>
  <si>
    <t>-</t>
  </si>
  <si>
    <t>에너지소비효율</t>
  </si>
  <si>
    <t>22mm(5일반+12아르곤+5로이)</t>
  </si>
  <si>
    <t>1등급</t>
  </si>
  <si>
    <t>D295BL</t>
  </si>
  <si>
    <t>차음성능</t>
  </si>
  <si>
    <t>22mm(5일반+12공기+5일반)</t>
  </si>
  <si>
    <t>37mm(5일반+27공기+5일반)</t>
  </si>
  <si>
    <t>PLS256D</t>
  </si>
  <si>
    <t>22mm(5일반+12공기+5로이)</t>
  </si>
  <si>
    <t>27.38mm(10.38접합+12공기+5일반)</t>
  </si>
  <si>
    <t>D290L</t>
  </si>
  <si>
    <t>역학성능</t>
  </si>
  <si>
    <t>24mm(6일반+12공기+6일반)</t>
  </si>
  <si>
    <t>26.76mm(8.76접합+12공기+6일반)</t>
  </si>
  <si>
    <t>단열성능</t>
  </si>
  <si>
    <t>B158BL</t>
  </si>
  <si>
    <t>SPS210S</t>
  </si>
  <si>
    <t>39mm(5일반+12아르곤+5일반+12아르곤+5로이)</t>
  </si>
  <si>
    <t>44.76mm(10.76접합+12아르곤+5일반+12아르곤+5로이)</t>
  </si>
  <si>
    <t>PTT237</t>
  </si>
  <si>
    <t>39mm(5일반+12아르곤+5로이+12아르곤+5로이)</t>
  </si>
  <si>
    <t>16mm(5일반+6공기+5일반)</t>
  </si>
  <si>
    <t>P-TD140</t>
  </si>
  <si>
    <t>T140</t>
  </si>
  <si>
    <t>E9-TT70</t>
  </si>
  <si>
    <t>39mm(5수퍼로이+12아르곤+5일반+12아르곤+5수퍼로이)</t>
  </si>
  <si>
    <t>31mm(5일반+8아르곤+5일반+8아르곤+5로이)</t>
  </si>
  <si>
    <t>36mm(10.76접합+8아르곤+5일반+8아르곤+5로이)</t>
  </si>
  <si>
    <t>D230</t>
  </si>
  <si>
    <t>S115V</t>
  </si>
  <si>
    <t>SPS210</t>
  </si>
  <si>
    <t>39mm(5로이+12아르곤+5일반+12아르곤+5로이)</t>
  </si>
  <si>
    <t>S5-250</t>
  </si>
  <si>
    <t>22mm(5일반+12아르곤+5수퍼로이)</t>
  </si>
  <si>
    <t>25.38mm(8.38접합+12공기+5로이)</t>
  </si>
  <si>
    <t>PLS170N</t>
  </si>
  <si>
    <t>24mm(6일반+12아르곤+6로이)</t>
  </si>
  <si>
    <t>P-TH60</t>
  </si>
  <si>
    <t>P60N2</t>
  </si>
  <si>
    <t>S7-145</t>
  </si>
  <si>
    <t>S7-255</t>
  </si>
  <si>
    <t>S3-125</t>
  </si>
  <si>
    <t>S3-235</t>
  </si>
  <si>
    <t>43mm(5로이+14아르곤+5로이+14아르곤+5일반)</t>
  </si>
  <si>
    <t>22mm(5일반+12공기+5수퍼로이)</t>
  </si>
  <si>
    <t>25.27mm(8.27접합+12공기+5일반)</t>
  </si>
  <si>
    <t>24mm(5일반+14공기+5로이)</t>
  </si>
  <si>
    <t>27.76mm(10.76접합+12공기+5로이)</t>
  </si>
  <si>
    <t>24mm(5일반+14공기+5일반)</t>
  </si>
  <si>
    <t>E9-TT150</t>
  </si>
  <si>
    <t>39mm(5일반+12공기+5로이+12공기+5로이)</t>
  </si>
  <si>
    <t>D229</t>
  </si>
  <si>
    <t>P-230W</t>
  </si>
  <si>
    <t>S3-250</t>
  </si>
  <si>
    <t>일반,AL간봉</t>
  </si>
  <si>
    <t>2000*2000</t>
  </si>
  <si>
    <t>24mm(5일반+14아르곤+5로이)</t>
  </si>
  <si>
    <t>29mm(10.76접합+14아르곤+5로이)</t>
  </si>
  <si>
    <t>PLS143S</t>
  </si>
  <si>
    <t>5mm(5일반)</t>
  </si>
  <si>
    <t>D245</t>
  </si>
  <si>
    <t>16mm(5일반+6공기+5로이)</t>
  </si>
  <si>
    <t>W206P3</t>
  </si>
  <si>
    <t>W206P2</t>
  </si>
  <si>
    <t>PTT145LV</t>
  </si>
  <si>
    <t>가동식루버</t>
  </si>
  <si>
    <t>22 mm MGO 복합 단열재</t>
  </si>
  <si>
    <t>25.38mm(8.38접합+12공기+5일반)</t>
  </si>
  <si>
    <t>26.76mm(10.76접합+10공기+6일반)</t>
  </si>
  <si>
    <t>24mm(6일반+12공기+6로이)</t>
  </si>
  <si>
    <t>D250</t>
  </si>
  <si>
    <t>24mm(5미스트+14아르곤+5로이)</t>
  </si>
  <si>
    <t>S3-130A</t>
  </si>
  <si>
    <t>W230</t>
  </si>
  <si>
    <t>24mm(6일반+12공기+6수퍼로이)</t>
  </si>
  <si>
    <t>PTT100OS</t>
  </si>
  <si>
    <t>25.76mm(8.76접합+12공기+5로이)</t>
  </si>
  <si>
    <t>일반,TPS간봉</t>
  </si>
  <si>
    <t>25.76mm(8.76접합+12아르곤+5수퍼로이)</t>
  </si>
  <si>
    <t>그린,AL간봉</t>
  </si>
  <si>
    <t>P-250</t>
  </si>
  <si>
    <t>22mm(6일반+12공기+6로이)</t>
  </si>
  <si>
    <t>24mm(5일반+14공기+5수퍼로이)</t>
  </si>
  <si>
    <t>2등급</t>
  </si>
  <si>
    <t>22mm(5일반+12아르곤+5일반)</t>
  </si>
  <si>
    <t>31mm(5일반+8공기+5일반+8아르곤+5로이)</t>
  </si>
  <si>
    <t>26mm(8.76접합+12공기+6로이)</t>
  </si>
  <si>
    <t>39mm(5일반+12공기+5일반+12공기+5로이)</t>
  </si>
  <si>
    <t>26mm(8.76접합+12공기+6일반)</t>
  </si>
  <si>
    <t>26mm(8.76접합+12아르곤+6로이)</t>
  </si>
  <si>
    <t>24mm(5일반+12아르곤+6로이)</t>
  </si>
  <si>
    <t>25.76mm(8.76접합+12공기+6일반)</t>
  </si>
  <si>
    <t>18mm(5일반+8공기+5로이)</t>
  </si>
  <si>
    <t>39mm(5로이+12공기+5일반+12공기+5로이)</t>
  </si>
  <si>
    <t>36mm(10.76접합+8공기+5일반+8아르곤+5로이)</t>
  </si>
  <si>
    <t>44mm(10.76접합+12아르곤+5일반+12아르곤+5로이)</t>
  </si>
  <si>
    <t>39mm(5일반+12공기+5일반+12아르곤+5로이)</t>
  </si>
  <si>
    <t>39mm(5일반+12공기+5로이+12크립톤+5로이)</t>
  </si>
  <si>
    <t>39mm(5일반+12아르곤+5수퍼로이+12아르곤+5수퍼로이)</t>
  </si>
  <si>
    <t>PLS272DBL</t>
  </si>
  <si>
    <t>37mm(5일반+27공기+5로이)</t>
  </si>
  <si>
    <t>16mm(5일반+6공기+5수퍼로이)</t>
  </si>
  <si>
    <t>E9-LS275</t>
  </si>
  <si>
    <t>44mm(10.76접합+12아르곤+5수퍼로이+12아르곤+5수퍼로이)</t>
  </si>
  <si>
    <t>D263</t>
  </si>
  <si>
    <t>S5-140</t>
  </si>
  <si>
    <t>24mm(5일반+14아르곤+5수퍼로이)</t>
  </si>
  <si>
    <t>S5-140GH</t>
  </si>
  <si>
    <t>23mm(8.76접합+10공기+5수퍼로이)</t>
  </si>
  <si>
    <t>43mm(5일반+14아르곤+5수퍼로이+14아르곤+5수퍼로이)</t>
  </si>
  <si>
    <t>P-125</t>
  </si>
  <si>
    <t>39mm(5일반+12공기+5일반+12공기+5수퍼로이)</t>
  </si>
  <si>
    <t>44.76mm(10.76접합+12공기+5일반+12아르곤+5로이)</t>
  </si>
  <si>
    <t>S7-260T</t>
  </si>
  <si>
    <t>26.76mm(8.76접합+12아르곤+6일반)</t>
  </si>
  <si>
    <t>S5-250T</t>
  </si>
  <si>
    <t>S5-140T</t>
  </si>
  <si>
    <t>B141B5</t>
  </si>
  <si>
    <t>D250BS</t>
  </si>
  <si>
    <t>S5-250GH</t>
  </si>
  <si>
    <t>23mm(8.76접합+10공기+5일반)</t>
  </si>
  <si>
    <t>31mm(5수퍼로이+8아르곤+5일반+8아르곤+5수퍼로이)</t>
  </si>
  <si>
    <t>S125BS</t>
  </si>
  <si>
    <t>B140B7</t>
  </si>
  <si>
    <t>P-235</t>
  </si>
  <si>
    <t>그린,TPS간봉</t>
  </si>
  <si>
    <t>S3-140</t>
  </si>
  <si>
    <t>27.76mm(10.76접합+12공기+5일반)</t>
  </si>
  <si>
    <t>24mm(5일반+14아르곤+5더블로이)</t>
  </si>
  <si>
    <t>D235BS</t>
  </si>
  <si>
    <t>3등급</t>
  </si>
  <si>
    <t>31mm(5일반+8공기+5일반+8일반+5로이)</t>
  </si>
  <si>
    <t>1500*1500</t>
  </si>
  <si>
    <t>3900*2100</t>
  </si>
  <si>
    <t>1990*2010</t>
  </si>
  <si>
    <t>3000*2240</t>
  </si>
  <si>
    <t>4500*2300</t>
  </si>
  <si>
    <t>25.76mm(8.76접합+12공기+5수퍼로이)</t>
  </si>
  <si>
    <t>23.76mm(8.76접합+10공기+5일반)</t>
  </si>
  <si>
    <t>23.76mm(8.76접합+10공기+5수퍼로이)</t>
  </si>
  <si>
    <t>D246B5</t>
  </si>
  <si>
    <t>22.76mm(8.76접합+8공기+6일반)</t>
  </si>
  <si>
    <t>25.38mm(9.38접합+11공기+5일반)</t>
  </si>
  <si>
    <t>40.76mm(8.76접합+10공기+5로이+12공기+5로이)</t>
  </si>
  <si>
    <t>D255B7</t>
  </si>
  <si>
    <t>22mm(5로이+12공기+5일반)</t>
  </si>
  <si>
    <t>22mm(5수퍼로이+12아르곤+5일반)</t>
  </si>
  <si>
    <t>미스트,AL간봉</t>
  </si>
  <si>
    <t>26.76mm(10.76접합+10공기+6로이)</t>
  </si>
  <si>
    <t>40.76mm(6.76접합+12공기+5로이+12공기+5로이)</t>
  </si>
  <si>
    <t>31mm(5로이+8공기+5일반+8공기+5일반)</t>
  </si>
  <si>
    <t>P-205WF</t>
  </si>
  <si>
    <t>S3-125PS</t>
  </si>
  <si>
    <t>S3-235PS</t>
  </si>
  <si>
    <t>S3-250PS</t>
  </si>
  <si>
    <t>S5-295</t>
  </si>
  <si>
    <t>S5-260T</t>
  </si>
  <si>
    <t>23.76mm(5일반+12공기+6.76접합)</t>
  </si>
  <si>
    <t>25.76mm(8.76접합+12공기+5일반)</t>
  </si>
  <si>
    <t>한실창</t>
  </si>
  <si>
    <t>P-250 GHT</t>
  </si>
  <si>
    <t>23.76mm(10.76접합+8공기+5일반)</t>
  </si>
  <si>
    <t>10.76mm(10.76접합)</t>
  </si>
  <si>
    <t>2800*2500</t>
  </si>
  <si>
    <t>일반,단열간봉</t>
  </si>
  <si>
    <t>P-250GHT</t>
  </si>
  <si>
    <t>21.76mm(10.76접합+6공기+5일반)</t>
  </si>
  <si>
    <t>31mm(5일반+6공기+5일반+10아르곤+5수퍼로이)</t>
  </si>
  <si>
    <t>22mm(5일반+12아르곤+5파워소프트로이)</t>
  </si>
  <si>
    <t>22mm(5일반+12공기+5파워소프트로이)</t>
  </si>
  <si>
    <t>일반</t>
  </si>
  <si>
    <t>일반,일반간봉</t>
  </si>
  <si>
    <t>39mm(5로이+12공기+5그린+12공기+5로이)</t>
  </si>
  <si>
    <t>B125B3</t>
  </si>
  <si>
    <t>23.76mm(10.76접합+8공기+5수퍼로이)</t>
  </si>
  <si>
    <t>24mm(5수퍼로이+14아르곤+5수퍼로이)</t>
  </si>
  <si>
    <t>AL간봉</t>
  </si>
  <si>
    <t>T200</t>
  </si>
  <si>
    <t>43mm(5수퍼로이+14아르곤+5일반+14아르곤+5수퍼로이)</t>
  </si>
  <si>
    <t>10mm(10일반)</t>
  </si>
  <si>
    <t>22mm(5로이+12공기+5로이)</t>
  </si>
  <si>
    <t>22mm(5일반+12공기+5Power Plus LE)</t>
  </si>
  <si>
    <t>S7-140</t>
  </si>
  <si>
    <t>LC-LS290GH</t>
  </si>
  <si>
    <t>27.76mm(8.76접합+14공기+5일반)</t>
  </si>
  <si>
    <t>LC-145GH</t>
  </si>
  <si>
    <t>B125B3T</t>
  </si>
  <si>
    <t>D235B3T</t>
  </si>
  <si>
    <t>D250B3T</t>
  </si>
  <si>
    <t>D235B3</t>
  </si>
  <si>
    <t>D250B3</t>
  </si>
  <si>
    <t>31mm(5일반+8공기+5일반+8공기+5수퍼로이)</t>
  </si>
  <si>
    <t>24mm(5일반+14아르곤+5수퍼로이2)</t>
  </si>
  <si>
    <t>D295B7</t>
  </si>
  <si>
    <t>D263GH</t>
  </si>
  <si>
    <t>23.76mm(8.76접합+10공기+5로이)</t>
  </si>
  <si>
    <t>25.76mm(9.76접합+11공기+5로이)</t>
  </si>
  <si>
    <t>21mm(21단열보드판)</t>
  </si>
  <si>
    <t>22mm(5일반+12아르곤+5더블로이)</t>
  </si>
  <si>
    <t>37mm(5수퍼로이+12아르곤+5수퍼로이+12아르곤+5수퍼로이)</t>
  </si>
  <si>
    <t>단열간봉</t>
  </si>
  <si>
    <t>S3-125T</t>
  </si>
  <si>
    <t>S3-250T</t>
  </si>
  <si>
    <t>24.38mm(6일반+6공기+12.38접합)</t>
  </si>
  <si>
    <t>P-230WF</t>
  </si>
  <si>
    <t>P-230WL</t>
  </si>
  <si>
    <t>PLS272BL</t>
  </si>
  <si>
    <t>25.76mm(10.76접합+10공기+5일반)</t>
  </si>
  <si>
    <t>23.76mm(10.76접합+8공기+5로이)</t>
  </si>
  <si>
    <t>블루,TPS간봉</t>
  </si>
  <si>
    <t>D245T</t>
  </si>
  <si>
    <t>31mm(5더블로이+8아르곤+5일반+8아르곤+5더블로이)</t>
  </si>
  <si>
    <t>31mm(5일반+8공기+5일반+8공기+5로이)</t>
  </si>
  <si>
    <t>25.76mm(10.76접합+10공기+5로이)</t>
  </si>
  <si>
    <t>23mm(1.5ABS SHEET+20압출법보온판+1.5ABS SHEET)</t>
  </si>
  <si>
    <t>24mm(5일반+14공기+5수퍼로이2)</t>
  </si>
  <si>
    <t>25.76mm(5로이+12공기+8.76접합)</t>
  </si>
  <si>
    <t>24mm(5수퍼더블로이+14공기+5일반)</t>
  </si>
  <si>
    <t>25.76mm(8.76접합+12아르곤+5로이)</t>
  </si>
  <si>
    <t>E9-TT237</t>
  </si>
  <si>
    <t>S8-275</t>
  </si>
  <si>
    <t>22mm(5일반+12공기+5수퍼로이2)</t>
  </si>
  <si>
    <t>25.76mm(8.76접합+12공기+5수퍼로이2)</t>
  </si>
  <si>
    <t>30.5mm(5로이+10크립톤+0.5일반+10크립톤+5로이)</t>
  </si>
  <si>
    <t>S8-160</t>
  </si>
  <si>
    <t>43mm(5수퍼로이2+14아르곤+5일반+14아르곤+5수퍼로이2)</t>
  </si>
  <si>
    <t>S6-250</t>
  </si>
  <si>
    <t>S6-295</t>
  </si>
  <si>
    <t>24mm(5수퍼더블로이+14아르곤+5일반)</t>
  </si>
  <si>
    <t>LC-LS287GH</t>
  </si>
  <si>
    <t>S8-275GH</t>
  </si>
  <si>
    <t>27.76mm(8.76그린접합+4일반+14공기+5일반)</t>
  </si>
  <si>
    <t>S8-160GH</t>
  </si>
  <si>
    <t>27.76mm(10.76그린접합+12아르곤+5로이)</t>
  </si>
  <si>
    <t>27.76mm(8.76접합+14공기+5수퍼로이2)</t>
  </si>
  <si>
    <t>그린,단열간봉</t>
  </si>
  <si>
    <t>24mm(5로이+14아르곤+5로이)</t>
  </si>
  <si>
    <t>로이,TPS간봉</t>
  </si>
  <si>
    <t>27.76mm(10.76접합+12아르곤+5로이)</t>
  </si>
  <si>
    <t>27.76mm(8.76그린접합+14공기+5일반)</t>
  </si>
  <si>
    <t>47mm(5일반+16아르곤+5수퍼로이2+16아르곤+5수퍼로이2)</t>
  </si>
  <si>
    <t>43mm(5일반+14공기+5일반+14공기+5일반)</t>
  </si>
  <si>
    <t>22.76mm(10.76그린접합+7공기+5일반)</t>
  </si>
  <si>
    <t>침입저항</t>
  </si>
  <si>
    <t>22mm(5수퍼로이+12공기+5일반)</t>
  </si>
  <si>
    <t>22mm(5그린+12아르곤+5일반)</t>
  </si>
  <si>
    <t>P230WF</t>
  </si>
  <si>
    <t>27.76mm(8.76접합+14아르곤+5일반)</t>
  </si>
  <si>
    <t>43mm(5일반+14아르곤+5수퍼로이2+14아르곤+5수퍼로이2)</t>
  </si>
  <si>
    <t>S5-295ES</t>
  </si>
  <si>
    <t>22mm(5로이+12공기+5그린)</t>
  </si>
  <si>
    <t>S5-250GHR</t>
  </si>
  <si>
    <t>23.76mm(8.76접합+10공기+5수퍼로이2)</t>
  </si>
  <si>
    <t>51mm(5일반+18아르곤+5수퍼로이2+18아르곤+5수퍼로이2)</t>
  </si>
  <si>
    <t>PTT70K</t>
  </si>
  <si>
    <t>39mm(5그린+12아르곤+5일반+12아르곤+5수퍼로이)</t>
  </si>
  <si>
    <t>51mm(5일반+18아르곤+5수퍼로이+18아르곤+5수퍼로이)</t>
  </si>
  <si>
    <t>기타</t>
  </si>
  <si>
    <t>24mm(5로이+14공기+5일반)</t>
  </si>
  <si>
    <t>22mm(5불투명+12공기+5로이)</t>
  </si>
  <si>
    <t>불투명,AL간봉</t>
  </si>
  <si>
    <t>S3-250GH</t>
  </si>
  <si>
    <t>26.76mm(8.76접합+12아르곤+6로이)</t>
  </si>
  <si>
    <t>34mm(5일반+10아르곤+6로이+8아르곤+5로이)</t>
  </si>
  <si>
    <t>22mm(5미스트+12공기+5로이)</t>
  </si>
  <si>
    <t>46.5mm(5수퍼로이2+18아르곤+0.5ATG+18아르곤+5수퍼로이2)</t>
  </si>
  <si>
    <t>ATG,단열간봉</t>
  </si>
  <si>
    <t>47mm(5수퍼더블로이+16아르곤+5일반+16아르곤+5수퍼더블로이)</t>
  </si>
  <si>
    <t>일반,SWIS간봉</t>
  </si>
  <si>
    <t>시리즈명</t>
  </si>
  <si>
    <t>제품코드</t>
  </si>
  <si>
    <t>구분</t>
  </si>
  <si>
    <t>형태</t>
  </si>
  <si>
    <t>작동방식(실외측)</t>
  </si>
  <si>
    <t>작동방식(실내측)</t>
  </si>
  <si>
    <t>판매구분</t>
  </si>
  <si>
    <t>단면도DWG</t>
  </si>
  <si>
    <t>입면도DWG</t>
  </si>
  <si>
    <t>시공도DWG</t>
  </si>
  <si>
    <t>단면도PDF</t>
  </si>
  <si>
    <t>입면도PDF</t>
  </si>
  <si>
    <t>시공도PDF</t>
  </si>
  <si>
    <t>소개자료</t>
  </si>
  <si>
    <t>소개자료(특판별도)</t>
  </si>
  <si>
    <t>리플렛</t>
  </si>
  <si>
    <t>레퍼런스</t>
  </si>
  <si>
    <t>HELP</t>
  </si>
  <si>
    <t>내풍압별사양(창짝폭최대)</t>
  </si>
  <si>
    <t>내풍압별사양(창짝폭2.0M)</t>
  </si>
  <si>
    <t>내풍압별사양(창짝폭1.5M)</t>
  </si>
  <si>
    <t>내풍압별사양(창짝폭1.0M)</t>
  </si>
  <si>
    <t>내풍압별사양(창짝폭0.5M)</t>
  </si>
  <si>
    <t>시판용 카탈로그</t>
  </si>
  <si>
    <t>시판전용</t>
  </si>
  <si>
    <t>특판용 카탈로그</t>
  </si>
  <si>
    <t>특판전용</t>
  </si>
  <si>
    <t>데코시트북</t>
  </si>
  <si>
    <t>전체</t>
  </si>
  <si>
    <t>사용자가이드북</t>
  </si>
  <si>
    <t>특별한기술 UP리플렛</t>
  </si>
  <si>
    <t>안전강화방충망 리플렛</t>
  </si>
  <si>
    <t>유해먼지저감필터 리플렛</t>
  </si>
  <si>
    <t>환경표지인증서 묶음</t>
  </si>
  <si>
    <t>탄소배출량 인증서</t>
  </si>
  <si>
    <t>창호형재중금속분석성적서</t>
  </si>
  <si>
    <t>PVC자기소화성성적서</t>
  </si>
  <si>
    <t>대리점기타공지사항</t>
  </si>
  <si>
    <t>론첼 LS이중창</t>
  </si>
  <si>
    <t>시스템창</t>
  </si>
  <si>
    <t>Full type, GHR type</t>
  </si>
  <si>
    <t>Sliding(미서기)</t>
  </si>
  <si>
    <t>Lift &amp; Slide(기능성미서기)</t>
  </si>
  <si>
    <t>론첼 단창</t>
  </si>
  <si>
    <t>유로시스템9 LS단창</t>
  </si>
  <si>
    <t>Full type</t>
  </si>
  <si>
    <t>유로시스템9 LS단창 LS이중창</t>
  </si>
  <si>
    <t>유로시스템9 TT광폭단창</t>
  </si>
  <si>
    <t>자유분할</t>
  </si>
  <si>
    <t>Tilt &amp; Turn(기능성여닫이)</t>
  </si>
  <si>
    <t>유로시스템9 TT단창</t>
  </si>
  <si>
    <t>유로시스템9 여닫이도어</t>
  </si>
  <si>
    <t>여닫이 도어</t>
  </si>
  <si>
    <t>Turning Door(여닫이 도어)</t>
  </si>
  <si>
    <t>유로시스템9 미니</t>
  </si>
  <si>
    <t>여닫이 창</t>
  </si>
  <si>
    <t>Turning (여닫이 창)</t>
  </si>
  <si>
    <t>시스템창 LS단창</t>
  </si>
  <si>
    <t>시스템 SPS</t>
  </si>
  <si>
    <t>Slide &amp; Parallel Seal(수평밀착미서기)</t>
  </si>
  <si>
    <t>시스템 LS이중창</t>
  </si>
  <si>
    <t>전동블라인드창</t>
  </si>
  <si>
    <t>HR-Deluxe BL LS이중창</t>
  </si>
  <si>
    <t>T type</t>
  </si>
  <si>
    <t>HR-Deluxe 단창</t>
  </si>
  <si>
    <t>HR-Deluxe LS이중창</t>
  </si>
  <si>
    <t>대피창</t>
  </si>
  <si>
    <t>2 Sash Turn(양개여닫이)</t>
  </si>
  <si>
    <t>수퍼세이브8 이중창</t>
  </si>
  <si>
    <t>고풍압 일반창</t>
  </si>
  <si>
    <t>수퍼세이브8 단창</t>
  </si>
  <si>
    <t>수퍼세이브7 이중창</t>
  </si>
  <si>
    <t>수퍼세이브7 단창</t>
  </si>
  <si>
    <t>수퍼세이브5 광폭이중창</t>
  </si>
  <si>
    <t>수퍼세이브5 이중창</t>
  </si>
  <si>
    <t>수퍼세이브5 단창</t>
  </si>
  <si>
    <t>수퍼세이브3 이중창</t>
  </si>
  <si>
    <t>수퍼세이브3 단창</t>
  </si>
  <si>
    <t>수퍼세이브3PS 이중창</t>
  </si>
  <si>
    <t>수퍼세이브3PS 단창</t>
  </si>
  <si>
    <t>수퍼세이브3PS 조립단창</t>
  </si>
  <si>
    <t>파워세이브 광폭단창</t>
  </si>
  <si>
    <t>실내용</t>
  </si>
  <si>
    <t>파워세이브 광폭단창L</t>
  </si>
  <si>
    <t>파워세이브 광폭단창F</t>
  </si>
  <si>
    <t>파워세이브 단창</t>
  </si>
  <si>
    <t>저풍압 일반창(14층 이하, 아파트 외부X)</t>
  </si>
  <si>
    <t>파워세이브 이중창</t>
  </si>
  <si>
    <t>파워세이브 여닫이도어</t>
  </si>
  <si>
    <t>파워세이브 여닫이창</t>
  </si>
  <si>
    <t>저풍압 일반창</t>
  </si>
  <si>
    <t>Top Hung(여닫이)</t>
  </si>
  <si>
    <t>P-SH60</t>
  </si>
  <si>
    <t>Side Hung(여닫이)</t>
  </si>
  <si>
    <t>수퍼세이브7 가로분할T 이중창</t>
  </si>
  <si>
    <t>수퍼세이브5 가로분할T 이중창</t>
  </si>
  <si>
    <t>수퍼세이브5 가로분할T 단창</t>
  </si>
  <si>
    <t>수퍼세이브3 가로분할T 이중창</t>
  </si>
  <si>
    <t>수퍼세이브3 가로분할T 단창</t>
  </si>
  <si>
    <t>수퍼세이브8 가로분할GH 이중창</t>
  </si>
  <si>
    <t>GH type</t>
  </si>
  <si>
    <t>수퍼세이브8 가로분할GH 단창</t>
  </si>
  <si>
    <t>수퍼세이브5 가로분할GH 이중창</t>
  </si>
  <si>
    <t>수퍼세이브5 가로분할GH 단창</t>
  </si>
  <si>
    <t>수퍼세이브3 가로분할GH 이중창</t>
  </si>
  <si>
    <t>수퍼세이브3 가로분할GH 단창</t>
  </si>
  <si>
    <t>S3-125GH</t>
  </si>
  <si>
    <t>파워세이브 가로분할GHT 단창</t>
  </si>
  <si>
    <t>P-125GHT</t>
  </si>
  <si>
    <t>GHT type</t>
  </si>
  <si>
    <t>파워세이브 가로분할GHT 이중창</t>
  </si>
  <si>
    <t>Wood Sliding(원목미서기)</t>
  </si>
  <si>
    <t>방법 2. 텍스트 필터 클릭 → '포함' 이나 '사용자 지정 필터' 클릭하여 원하는 값 입력 → '확인' 클릭</t>
    <phoneticPr fontId="2" type="noConversion"/>
  </si>
  <si>
    <t>방법 1.  '모두선택' 을 클릭하여 모든 항목 선택해제 → 원하는 항목 클릭 → '확인' 클릭</t>
    <phoneticPr fontId="2" type="noConversion"/>
  </si>
  <si>
    <t>성적서 시트에서 원하는 열의 제목에 있는 화살표 클릭 →</t>
    <phoneticPr fontId="2" type="noConversion"/>
  </si>
  <si>
    <t xml:space="preserve"> </t>
    <phoneticPr fontId="2" type="noConversion"/>
  </si>
  <si>
    <t>[ 조회방법 ]</t>
    <phoneticPr fontId="2" type="noConversion"/>
  </si>
  <si>
    <t>침입저항 (KS 성능조건 만족 여부)</t>
    <phoneticPr fontId="2" type="noConversion"/>
  </si>
  <si>
    <t xml:space="preserve">결로 (지역별 결로발생 저항 능력에 대한 법규 만족 여부) </t>
    <phoneticPr fontId="2" type="noConversion"/>
  </si>
  <si>
    <t>차음 (실험조건하에서의 소음을 차단하는 능력, KS등급)</t>
    <phoneticPr fontId="2" type="noConversion"/>
  </si>
  <si>
    <t>내풍압 (바람을 견디는 능력, KS등급)</t>
    <phoneticPr fontId="2" type="noConversion"/>
  </si>
  <si>
    <t>수밀 (물넘침 방지능력, KS등급)</t>
    <phoneticPr fontId="2" type="noConversion"/>
  </si>
  <si>
    <t>기밀 (틈새를 통한 공기이동을 막는 밀폐능력, KS등급)</t>
    <phoneticPr fontId="2" type="noConversion"/>
  </si>
  <si>
    <r>
      <t>단열 (실험조건 하에서의 단위 면적당 열손실량, W/m</t>
    </r>
    <r>
      <rPr>
        <vertAlign val="superscript"/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scheme val="minor"/>
      </rPr>
      <t>k)</t>
    </r>
    <phoneticPr fontId="2" type="noConversion"/>
  </si>
  <si>
    <t>에너지소비효율등급 (에너지소비효율 등급별 단열성능 및 기밀성능 조건)</t>
    <phoneticPr fontId="2" type="noConversion"/>
  </si>
  <si>
    <t>유리사양</t>
    <phoneticPr fontId="2" type="noConversion"/>
  </si>
  <si>
    <t>시험항목</t>
    <phoneticPr fontId="2" type="noConversion"/>
  </si>
  <si>
    <t>제품명(완성창과 자재판매제품으로 구분)</t>
    <phoneticPr fontId="2" type="noConversion"/>
  </si>
  <si>
    <t>[ 조회항목 ]</t>
    <phoneticPr fontId="2" type="noConversion"/>
  </si>
  <si>
    <t>▨ 성적조회</t>
    <phoneticPr fontId="2" type="noConversion"/>
  </si>
  <si>
    <t xml:space="preserve">   ※ 저풍압 창호는 아파트 각 세대의 외부용 창호로 사용하는 것이 금지되어 있습니다.</t>
    <phoneticPr fontId="2" type="noConversion"/>
  </si>
  <si>
    <t>2. '업데이트 확인'란에 '데이터베이스가 업데이트 되었습니다(다운로드)'가 표시되면 '다운로드' 클릭</t>
    <phoneticPr fontId="2" type="noConversion"/>
  </si>
  <si>
    <t>1. 엑셀 상단메뉴의 '데이터' 클릭 → '모두 새로고침' 클릭</t>
    <phoneticPr fontId="2" type="noConversion"/>
  </si>
  <si>
    <t>▨ 업데이트 확인 및 최신파일 다운로드</t>
    <phoneticPr fontId="2" type="noConversion"/>
  </si>
  <si>
    <t>업데이트 확인 :</t>
    <phoneticPr fontId="2" type="noConversion"/>
  </si>
  <si>
    <t>현재파일 :</t>
    <phoneticPr fontId="2" type="noConversion"/>
  </si>
  <si>
    <t>최신파일 :</t>
    <phoneticPr fontId="2" type="noConversion"/>
  </si>
  <si>
    <t>제품별 특징 구분내용은 아래 설명을 참조하시기 바랍니다.</t>
    <phoneticPr fontId="2" type="noConversion"/>
  </si>
  <si>
    <t>제품별 도면(단면도, 입면도, 시공도), 소개자료, 리플렛, 레퍼런스, 취급시방서를 다운로드 받을 수 있습니다.</t>
    <phoneticPr fontId="2" type="noConversion"/>
  </si>
  <si>
    <t>▨ 완성창 제품정보</t>
    <phoneticPr fontId="2" type="noConversion"/>
  </si>
  <si>
    <t>30.5mm(5수퍼로이2+10크립톤+0.5ATG+10크립톤+5수퍼로이2)</t>
  </si>
  <si>
    <t>E9-PTD200</t>
  </si>
  <si>
    <t>42.5mm(5수퍼로이2+16크립톤+0.5ATG+16크립톤+5수퍼로이2)</t>
  </si>
  <si>
    <t>42.5mm(5수퍼로이+16아르곤+0.5ATG+16아르곤+5수퍼로이)</t>
  </si>
  <si>
    <t>E9-PTD200F</t>
  </si>
  <si>
    <t>T200F</t>
  </si>
  <si>
    <t>E9-PLS250N</t>
    <phoneticPr fontId="2" type="noConversion"/>
  </si>
  <si>
    <t>43mm(5로이+14아르곤+5일반+14아르곤+5로이)</t>
    <phoneticPr fontId="2" type="noConversion"/>
  </si>
  <si>
    <t>24mm(5일반+14아르곤+5로이)</t>
    <phoneticPr fontId="2" type="noConversion"/>
  </si>
  <si>
    <t>E9-PTT85(MU)</t>
    <phoneticPr fontId="2" type="noConversion"/>
  </si>
  <si>
    <t>47mm(5일반+16아르곤+5로이+16아르곤+5로이)</t>
    <phoneticPr fontId="2" type="noConversion"/>
  </si>
  <si>
    <t>B141</t>
  </si>
  <si>
    <t>E9-LS250</t>
  </si>
  <si>
    <t>E9-TD200</t>
  </si>
  <si>
    <t>E9-TU200</t>
  </si>
  <si>
    <t>E9-TT85(PHI)</t>
  </si>
  <si>
    <t>E9-TT85 PHI</t>
  </si>
  <si>
    <t>E9-TT85</t>
  </si>
  <si>
    <t>E9-TT200</t>
  </si>
  <si>
    <t>TD-200F</t>
  </si>
  <si>
    <t>TD-200</t>
  </si>
  <si>
    <t>D250N</t>
  </si>
  <si>
    <t>R9-APA 273P LS</t>
  </si>
  <si>
    <t>27.76mm(8.76그린접합+4일반+14공기+5수퍼로이2)</t>
  </si>
  <si>
    <t>22mm(5그린+12공기+5수퍼로이2)</t>
  </si>
  <si>
    <t>22mm(5일반+12아르곤+5수퍼로이2)</t>
  </si>
  <si>
    <t>27.76mm(10.76그린접합+12공기+5수퍼로이2)</t>
  </si>
  <si>
    <t>S3-250GHR</t>
  </si>
  <si>
    <t>N3-AP 152 SL</t>
  </si>
  <si>
    <t>N5-AP 152 LS</t>
  </si>
  <si>
    <t>LC-LS287 GH</t>
  </si>
  <si>
    <t>그린</t>
  </si>
  <si>
    <t>UC-LS200</t>
  </si>
  <si>
    <t>UE-LS245</t>
  </si>
  <si>
    <t>US-PS210</t>
  </si>
  <si>
    <t>UI-FD68</t>
  </si>
  <si>
    <t>30.5mm(5수퍼로이+10아르곤+0.5ATG+10아르곤+5수퍼로이)</t>
  </si>
  <si>
    <t>UE-DR80</t>
  </si>
  <si>
    <t>46.5mm(5수퍼로이+18아르곤+0.5ATG+18아르곤+5수퍼로이)</t>
  </si>
  <si>
    <t>UE-SH80</t>
  </si>
  <si>
    <t>UE-TH80</t>
  </si>
  <si>
    <t>UE-TT80</t>
  </si>
  <si>
    <t>22mm(5일반+12공기+5파워소프트9로이)</t>
  </si>
  <si>
    <t>22mm(5일반+12공기+5파워소프트10로이)</t>
  </si>
  <si>
    <t>25.76mm(5일반+0.76필름+3일반+12공기+5일반)</t>
  </si>
  <si>
    <t>FIX - 23.76mm(4일반+0.76필름+4일반+10공기+5로이)</t>
  </si>
  <si>
    <t>D290L-GH</t>
  </si>
  <si>
    <t>FIX - 25.76mm(4일반+0.76필름+4일반+12공기+5일반)</t>
  </si>
  <si>
    <t>D258B</t>
  </si>
  <si>
    <t>25.76mm(4그린+0.76필름+4일반+12공기+일반)</t>
  </si>
  <si>
    <t>22mm(5미스트+12공기+5일반)</t>
  </si>
  <si>
    <t>FIX - 23.76mm(5UGT144로이+10아르곤+4일반+0.76필름+4일반)</t>
  </si>
  <si>
    <t>22mm(5UGT144로이+12아르곤+5일반)</t>
  </si>
  <si>
    <t>22mm(6그린+10공기+6일반)</t>
  </si>
  <si>
    <t>39mm(5그린+12아르곤+5로이+12아르곤+5로이)</t>
  </si>
  <si>
    <t>38.76mm(4그린+0.76필름+4일반+10아르곤+5로이+10아르곤+5로이)</t>
  </si>
  <si>
    <t>E9-ATT80(단열폼)</t>
  </si>
  <si>
    <t>47mm(5일반+16아르곤+5수퍼로이+16아르곤+5수퍼로이)</t>
  </si>
  <si>
    <t>23.76mm(4그린+0.76필름+4일반+10공기+일반)</t>
  </si>
  <si>
    <t>22mm(7망입유리+10아르곤+5수퍼로이)</t>
  </si>
  <si>
    <t>망입유리,AL간봉</t>
  </si>
  <si>
    <t>10.76mm(5일반_반강화+0.76필름+5일반_반강화)</t>
  </si>
  <si>
    <t>0.82</t>
  </si>
  <si>
    <t>FIX - 23.76mm(4일반+0.76접합필름+4일반+10공기+5일반)</t>
  </si>
  <si>
    <t>FIX - 23.76mm(4일반+0.76접합필름+4일반+10공기+5수퍼로이2)</t>
  </si>
  <si>
    <t>22mm(5그린+14아르곤+5수퍼로이2)</t>
  </si>
  <si>
    <t>22mm(5일반+14아르곤+5수퍼로이2)</t>
  </si>
  <si>
    <t>S7-250T</t>
  </si>
  <si>
    <t>23.76mm(5일반+0.76필름+5일반+8공기+5일반)</t>
  </si>
  <si>
    <t>43mm(5로이+14공기+5일반+14공기+5로이)</t>
  </si>
  <si>
    <t>TD-140</t>
  </si>
  <si>
    <t>APG 280P LS</t>
  </si>
  <si>
    <t>FIX - 27.76mm(5일반+0.76필름+5일반+12아르곤+5수퍼로이)</t>
  </si>
  <si>
    <t>31mm(5수퍼로이+20아르곤+5일반)</t>
  </si>
  <si>
    <t>일반,단열간봉 TPS</t>
  </si>
  <si>
    <t>0.98</t>
  </si>
  <si>
    <t>APW 290P LS</t>
  </si>
  <si>
    <t>0.95</t>
  </si>
  <si>
    <t>E9-PLS200</t>
  </si>
  <si>
    <t>51mm(5로이+18아르곤+5일반+18아르곤+5로이)</t>
  </si>
  <si>
    <t>0.84</t>
  </si>
  <si>
    <t>S7-150N</t>
  </si>
  <si>
    <t>28mm(5일반+18공기+5수퍼로이2)</t>
  </si>
  <si>
    <t>1.35</t>
  </si>
  <si>
    <t>S7-290N</t>
  </si>
  <si>
    <t>0.93</t>
  </si>
  <si>
    <t>일반,단열간봉(스위스 스페이서),TPS간봉</t>
  </si>
  <si>
    <t>22mm(5로이+12아르곤+5일반)</t>
  </si>
  <si>
    <t>FIX - 23.76mm(5로이+10아르곤+4일반+0.76접합필름+4일반)</t>
  </si>
  <si>
    <t>노블레스9 AP 283LS</t>
  </si>
  <si>
    <t>22mm(5그린+12공기+5수퍼로이1.3)</t>
  </si>
  <si>
    <t>E9-ASH80(단열폼)</t>
  </si>
  <si>
    <t>0</t>
  </si>
  <si>
    <t>E9-ATH80(단열폼)</t>
  </si>
  <si>
    <t>0.2</t>
  </si>
  <si>
    <t>FIX - 27.76mm(4일반+0.76필름+4일반+14공기+5수퍼로이)</t>
  </si>
  <si>
    <t>FIX - 23.76mm(5로이+10아르곤+4일반+0.76필름+4일반)</t>
  </si>
  <si>
    <t>22mm(5로이+12이르곤+5일반)</t>
  </si>
  <si>
    <t>FIX - 23.76mm(4일반+0.76필름+4일반+10공기+5수퍼로이)</t>
  </si>
  <si>
    <t>FIX - 23.76mm(5UGT114+10아르곤+4일반+0.76필름+4일반)</t>
  </si>
  <si>
    <t>22mm(5UGT144+12아르곤+5일반)</t>
  </si>
  <si>
    <t>27.76mm(5그린+0.76필름+5일반+12공기+5일반)</t>
  </si>
  <si>
    <t>PTT70-IN</t>
  </si>
  <si>
    <t>22mm(5울트라블루+12공기+5일반)</t>
  </si>
  <si>
    <t>블루,단열AL간봉</t>
  </si>
  <si>
    <t>B140B5</t>
  </si>
  <si>
    <t>1.57</t>
  </si>
  <si>
    <t>22mm(5일반+12공기+5e플러스로이1.3)</t>
  </si>
  <si>
    <t>1.37</t>
  </si>
  <si>
    <t>1.36</t>
  </si>
  <si>
    <t>24mm(5일반+14공기+55e플러스로이1.3)</t>
  </si>
  <si>
    <t>1.41</t>
  </si>
  <si>
    <t>0.81</t>
  </si>
  <si>
    <t>0.78</t>
  </si>
  <si>
    <t>1.52</t>
  </si>
  <si>
    <t>1.43</t>
  </si>
  <si>
    <t>26mm(5일반+16공기+5일반)</t>
  </si>
  <si>
    <t>1.68</t>
  </si>
  <si>
    <t>0.87</t>
  </si>
  <si>
    <t>22mm(5일반+12일반+5로이)</t>
  </si>
  <si>
    <t>22mm(5일반+12일반+5일반)</t>
  </si>
  <si>
    <t>39mm(5그린+12아르곤+5수퍼로이+12아르곤+5수퍼로이)</t>
  </si>
  <si>
    <t>10.76mm(5일반HS+0.76필름+5일반HS)</t>
  </si>
  <si>
    <t>일반,단열AL간봉</t>
  </si>
  <si>
    <t>FIX - 23.76mm(5일반+0.76필름+5일반+8아르곤+5수퍼로이)</t>
  </si>
  <si>
    <t>22mm(5UGT114+12아르곤+5일반)</t>
  </si>
  <si>
    <t>24mm(5그린+14공기+5수퍼로이2)</t>
  </si>
  <si>
    <t>0.88</t>
  </si>
  <si>
    <t>S5-250(환기시스템)비가동</t>
  </si>
  <si>
    <t>25.76mm(4일반+0.76필름+4일반+12공기+5로이)</t>
  </si>
  <si>
    <t>N5-AP 152 LS/입면분할</t>
  </si>
  <si>
    <t>24mm(6일반+12공기+56로이)</t>
  </si>
  <si>
    <t>26.76mm(4일반+0.76필름+4일반+12공기+6로이)</t>
  </si>
  <si>
    <t>N9-AP 283P LS/입면분할</t>
  </si>
  <si>
    <t>N7-AP270 SL/FULL</t>
  </si>
  <si>
    <t>26mm(5일반+16공기+5수퍼로이2)</t>
  </si>
  <si>
    <t>26mm(5일반+16아르곤+5수퍼로이2)</t>
  </si>
  <si>
    <t>1.61</t>
  </si>
  <si>
    <t>0.89</t>
  </si>
  <si>
    <t>0.86</t>
  </si>
  <si>
    <t>0.79</t>
  </si>
  <si>
    <t>42.5mm(5로이+16아르곤+0.5ATG+16아르곤+로이)</t>
  </si>
  <si>
    <t>0.85</t>
  </si>
  <si>
    <t>43mm(5일반+14공기+5일반+14공기+5수퍼로이2)</t>
  </si>
  <si>
    <t>PLS 143S</t>
  </si>
  <si>
    <t>27.76mm(5그린+0.76필름+5일반+12공기+5수퍼로이)</t>
  </si>
  <si>
    <t>E9-PTT200</t>
  </si>
  <si>
    <t>22mm(6일반+12아르곤+5로이)</t>
  </si>
  <si>
    <t>LC-LS280GH</t>
  </si>
  <si>
    <t>0.11</t>
  </si>
  <si>
    <t>0.62</t>
  </si>
  <si>
    <t>24mm(5일반+12공기+5일반)</t>
  </si>
  <si>
    <t>0.83</t>
  </si>
  <si>
    <t>D250B5</t>
  </si>
  <si>
    <t>24mm(5일반+14공기+5e플러스로이1.3)</t>
  </si>
  <si>
    <t>0.80</t>
  </si>
  <si>
    <t>28mm(5일반+18공기+5일반)</t>
  </si>
  <si>
    <t>1.48</t>
  </si>
  <si>
    <t>S5-250-GH</t>
  </si>
  <si>
    <t>FIX - 23.76mm(5일반+0.76필름+5일반+8공기+5수퍼로이)</t>
  </si>
  <si>
    <t>N9-AP 270P LS</t>
  </si>
  <si>
    <t>FIX - 25.76mm(4일반+0.76필름+4일반+12공기+5로이)</t>
  </si>
  <si>
    <t>FIX - 22mm(5일반+12공기+5로이)</t>
  </si>
  <si>
    <t>R9-APA 273P LS-GH</t>
  </si>
  <si>
    <t>FIX - 25.76mm(4일반HS+0.76필름+4일반HS+12공기+5로이)</t>
  </si>
  <si>
    <t>22mm(5일반HS+12공기+5로이)</t>
  </si>
  <si>
    <t>AP273P LS GH</t>
  </si>
  <si>
    <t>N9-AP 283LS</t>
  </si>
  <si>
    <t>S5-295 GHR</t>
  </si>
  <si>
    <t>FIX - 22mm(5일반+12공기+5일반)</t>
  </si>
  <si>
    <t>S3-125 GHR</t>
  </si>
  <si>
    <t>FIX - 22mm(5일반+12공기+5수퍼로이2)</t>
  </si>
  <si>
    <t>43mm(5로이+14아르곤+5일반+14아르곤+5로이)</t>
  </si>
  <si>
    <t>0.19</t>
  </si>
  <si>
    <t>시방서</t>
  </si>
  <si>
    <t>E9-TT85PHI</t>
    <phoneticPr fontId="2" type="noConversion"/>
  </si>
  <si>
    <t>New 수퍼세이브7 이중창</t>
  </si>
  <si>
    <t>New 수퍼세이브7 단창</t>
  </si>
  <si>
    <t>-</t>
    <phoneticPr fontId="2" type="noConversion"/>
  </si>
  <si>
    <t>S3-125</t>
    <phoneticPr fontId="2" type="noConversion"/>
  </si>
  <si>
    <t>에너지소비효율</t>
    <phoneticPr fontId="2" type="noConversion"/>
  </si>
  <si>
    <t>24mm(5수퍼로이+14아르곤+5일반)</t>
    <phoneticPr fontId="2" type="noConversion"/>
  </si>
  <si>
    <t>일반,TPS간봉</t>
    <phoneticPr fontId="2" type="noConversion"/>
  </si>
  <si>
    <t>2000*2000</t>
    <phoneticPr fontId="2" type="noConversion"/>
  </si>
  <si>
    <t>2등급</t>
    <phoneticPr fontId="2" type="noConversion"/>
  </si>
  <si>
    <t>24mm(5일반+14아르곤+5수퍼로이)</t>
    <phoneticPr fontId="2" type="noConversion"/>
  </si>
  <si>
    <t>1500*1500</t>
    <phoneticPr fontId="2" type="noConversion"/>
  </si>
  <si>
    <t>S3-235</t>
    <phoneticPr fontId="2" type="noConversion"/>
  </si>
  <si>
    <t>24mm(5수퍼더블로이+14아르곤+5일반)</t>
    <phoneticPr fontId="2" type="noConversion"/>
  </si>
  <si>
    <t>24mm(5수퍼더블로이+14공기+5일반)</t>
    <phoneticPr fontId="2" type="noConversion"/>
  </si>
  <si>
    <t>1등급</t>
    <phoneticPr fontId="2" type="noConversion"/>
  </si>
  <si>
    <t>24mm(5일반+14공기+5일반)</t>
    <phoneticPr fontId="2" type="noConversion"/>
  </si>
  <si>
    <t>S3-250GHR</t>
    <phoneticPr fontId="2" type="noConversion"/>
  </si>
  <si>
    <t>일반,AL간봉</t>
    <phoneticPr fontId="2" type="noConversion"/>
  </si>
  <si>
    <t>S5-140</t>
    <phoneticPr fontId="2" type="noConversion"/>
  </si>
  <si>
    <t>S5-250</t>
    <phoneticPr fontId="2" type="noConversion"/>
  </si>
  <si>
    <t>S7-150N</t>
    <phoneticPr fontId="2" type="noConversion"/>
  </si>
  <si>
    <t>26mm(5일반+16아르곤+5수퍼로이2)</t>
    <phoneticPr fontId="2" type="noConversion"/>
  </si>
  <si>
    <t>26mm(5일반+16공기+5일반)</t>
    <phoneticPr fontId="2" type="noConversion"/>
  </si>
  <si>
    <t>28mm(5일반+18공기+5일반)</t>
    <phoneticPr fontId="2" type="noConversion"/>
  </si>
  <si>
    <t>26mm(5일반+16공기+5수퍼로이2)</t>
    <phoneticPr fontId="2" type="noConversion"/>
  </si>
  <si>
    <t>일반,단열간봉</t>
    <phoneticPr fontId="2" type="noConversion"/>
  </si>
  <si>
    <t>28mm(5일반+18공기+5수퍼로이2)</t>
    <phoneticPr fontId="2" type="noConversion"/>
  </si>
  <si>
    <t>S7-255</t>
    <phoneticPr fontId="2" type="noConversion"/>
  </si>
  <si>
    <t>24mm(5그린+14공기+5수퍼로이2)</t>
    <phoneticPr fontId="2" type="noConversion"/>
  </si>
  <si>
    <t>P-250</t>
    <phoneticPr fontId="2" type="noConversion"/>
  </si>
  <si>
    <t>22mm(5일반+12공기+5일반)</t>
    <phoneticPr fontId="2" type="noConversion"/>
  </si>
  <si>
    <t>S3-125PS</t>
    <phoneticPr fontId="2" type="noConversion"/>
  </si>
  <si>
    <t>24mm(5일반+14아르곤+5수퍼로이2)</t>
    <phoneticPr fontId="2" type="noConversion"/>
  </si>
  <si>
    <t>22mm(5일반+14아르곤+5수퍼로이2)</t>
    <phoneticPr fontId="2" type="noConversion"/>
  </si>
  <si>
    <t>24mm(5일반+14공기+5수퍼로이)</t>
    <phoneticPr fontId="2" type="noConversion"/>
  </si>
  <si>
    <t>S3-235PS</t>
    <phoneticPr fontId="2" type="noConversion"/>
  </si>
  <si>
    <t>22mm(5일반+12아르곤+5수퍼로이2)</t>
    <phoneticPr fontId="2" type="noConversion"/>
  </si>
  <si>
    <t>24mm(5일반+14공기+5수퍼로이2)</t>
    <phoneticPr fontId="2" type="noConversion"/>
  </si>
  <si>
    <t>22mm(5일반+12공기+5수퍼로이2)</t>
    <phoneticPr fontId="2" type="noConversion"/>
  </si>
  <si>
    <t>S7-290N</t>
    <phoneticPr fontId="2" type="noConversion"/>
  </si>
  <si>
    <t>24mm(5그린+14공기+5로이)</t>
    <phoneticPr fontId="2" type="noConversion"/>
  </si>
  <si>
    <t>24mm(5일반+14공기+5로이)</t>
    <phoneticPr fontId="2" type="noConversion"/>
  </si>
  <si>
    <t>28mm(6일반+16공기+6로이)</t>
    <phoneticPr fontId="2" type="noConversion"/>
  </si>
  <si>
    <t>28mm(6그린+16공기+6로이)</t>
    <phoneticPr fontId="2" type="noConversion"/>
  </si>
  <si>
    <t>B140B5</t>
    <phoneticPr fontId="2" type="noConversion"/>
  </si>
  <si>
    <t>D235BS</t>
    <phoneticPr fontId="2" type="noConversion"/>
  </si>
  <si>
    <t>D250B5</t>
    <phoneticPr fontId="2" type="noConversion"/>
  </si>
  <si>
    <t>D250BS</t>
    <phoneticPr fontId="2" type="noConversion"/>
  </si>
  <si>
    <t>B140B5S</t>
    <phoneticPr fontId="2" type="noConversion"/>
  </si>
  <si>
    <t>D-229</t>
    <phoneticPr fontId="2" type="noConversion"/>
  </si>
  <si>
    <t>D250B3T</t>
    <phoneticPr fontId="2" type="noConversion"/>
  </si>
  <si>
    <t>D250B5S</t>
    <phoneticPr fontId="2" type="noConversion"/>
  </si>
  <si>
    <t>S8-280GHR</t>
    <phoneticPr fontId="2" type="noConversion"/>
  </si>
  <si>
    <t>S-124</t>
    <phoneticPr fontId="2" type="noConversion"/>
  </si>
  <si>
    <t>2000*2000</t>
    <phoneticPr fontId="2" type="noConversion"/>
  </si>
  <si>
    <t>1500*1500</t>
    <phoneticPr fontId="2" type="noConversion"/>
  </si>
  <si>
    <t>-</t>
    <phoneticPr fontId="2" type="noConversion"/>
  </si>
  <si>
    <t>25.76mm(4일반+0.76접합+4일반+12공기+5수퍼로이2)</t>
  </si>
  <si>
    <t>FIX - 27.76mm(4일반+0.76필름+4일반+14공기+5수퍼로이2)</t>
  </si>
  <si>
    <t>10.76mm(5일반+0.76필름+5일반)</t>
  </si>
  <si>
    <t>22mm(5미스트+12아르곤+5로이)</t>
  </si>
  <si>
    <t>24mm(5일반+14공기+5로이)</t>
    <phoneticPr fontId="2" type="noConversion"/>
  </si>
  <si>
    <t>22mm(5일반+12공기+5로이)</t>
    <phoneticPr fontId="2" type="noConversion"/>
  </si>
  <si>
    <t>22mm(5일반+12공기+5일반)</t>
    <phoneticPr fontId="2" type="noConversion"/>
  </si>
  <si>
    <t>24mm(5일반+14공기+5일반)</t>
    <phoneticPr fontId="2" type="noConversion"/>
  </si>
  <si>
    <t>E9-PLS200</t>
    <phoneticPr fontId="2" type="noConversion"/>
  </si>
  <si>
    <t>F-250</t>
  </si>
  <si>
    <t>F-140</t>
  </si>
  <si>
    <t>F-145</t>
  </si>
  <si>
    <t>F-230W</t>
  </si>
  <si>
    <t>F-230WF</t>
  </si>
  <si>
    <t>F-265</t>
  </si>
  <si>
    <t>F-285</t>
  </si>
  <si>
    <t>F-140S</t>
  </si>
  <si>
    <t>F-250S</t>
  </si>
  <si>
    <t>F-230WS</t>
  </si>
  <si>
    <t>단열</t>
    <phoneticPr fontId="2" type="noConversion"/>
  </si>
  <si>
    <t>F-285</t>
    <phoneticPr fontId="14" type="noConversion"/>
  </si>
  <si>
    <t>F-230WS</t>
    <phoneticPr fontId="14" type="noConversion"/>
  </si>
  <si>
    <t>F-250S</t>
    <phoneticPr fontId="14" type="noConversion"/>
  </si>
  <si>
    <t>F-250</t>
    <phoneticPr fontId="14" type="noConversion"/>
  </si>
  <si>
    <t>F-140</t>
    <phoneticPr fontId="14" type="noConversion"/>
  </si>
  <si>
    <t>F-265</t>
    <phoneticPr fontId="14" type="noConversion"/>
  </si>
  <si>
    <t>F-265S</t>
    <phoneticPr fontId="2" type="noConversion"/>
  </si>
  <si>
    <t>F-145</t>
    <phoneticPr fontId="2" type="noConversion"/>
  </si>
  <si>
    <t>F-145S</t>
    <phoneticPr fontId="2" type="noConversion"/>
  </si>
  <si>
    <t>F-140GH</t>
    <phoneticPr fontId="2" type="noConversion"/>
  </si>
  <si>
    <t>F-145GH</t>
    <phoneticPr fontId="2" type="noConversion"/>
  </si>
  <si>
    <t>F-250GH</t>
    <phoneticPr fontId="2" type="noConversion"/>
  </si>
  <si>
    <t>F-265GH</t>
    <phoneticPr fontId="2" type="noConversion"/>
  </si>
  <si>
    <t>F-285GH</t>
    <phoneticPr fontId="2" type="noConversion"/>
  </si>
  <si>
    <t>F-145S</t>
  </si>
  <si>
    <t>F-265S</t>
  </si>
  <si>
    <t>F-285S</t>
  </si>
  <si>
    <t>F-TD140</t>
  </si>
  <si>
    <t>F-250GH</t>
  </si>
  <si>
    <t>F-140GH</t>
  </si>
  <si>
    <t>F-265GH</t>
  </si>
  <si>
    <t>F-285GH</t>
  </si>
  <si>
    <t>F-250SGHR</t>
  </si>
  <si>
    <t>F-145GH</t>
  </si>
  <si>
    <t>F-250I</t>
  </si>
  <si>
    <t>F-270I</t>
  </si>
  <si>
    <t>F-130I</t>
  </si>
  <si>
    <t>F-130IS</t>
  </si>
  <si>
    <t>F-250IS</t>
  </si>
  <si>
    <t>F-270IS</t>
  </si>
  <si>
    <t>외부복층26mm(5일반+16아르곤+5듀라플러스LE)</t>
  </si>
  <si>
    <t>외부복층26mm(5일반+16공기+5일반)</t>
  </si>
  <si>
    <t>외부복층26mm(5수퍼더블로이+16공기+5일반)</t>
  </si>
  <si>
    <t>외부복층24mm(5일반+14아르곤+5수퍼로이)</t>
  </si>
  <si>
    <t>외부복층24mm(5수퍼더블로이+14아르곤+5일반)</t>
  </si>
  <si>
    <t>외부복층26mm(5일반+16공기+5수퍼로이)</t>
  </si>
  <si>
    <t>외부복층26mm(5일반+16아르곤+5수퍼로이)</t>
  </si>
  <si>
    <t>외부복층26mm(5수퍼더블로이+16아르곤+5일반)</t>
  </si>
  <si>
    <t>외부복층24mm(5일반+14공기+5일반)</t>
  </si>
  <si>
    <t>외부복층24mm(5일반+14공기+5수퍼로이)</t>
  </si>
  <si>
    <t>외부복층24mm(5수퍼더블로이+14공기+5일반)</t>
  </si>
  <si>
    <t>외부복층28mm(5일반+18공기+5일반)</t>
  </si>
  <si>
    <t>외부복층28mm(5일반+18공기+5수퍼로이)</t>
  </si>
  <si>
    <t>외부복층28mm(5수퍼더블로이+18아르곤+5일반)</t>
  </si>
  <si>
    <t>외부복층28mm(5수퍼더블로이+18공기+5일반)</t>
  </si>
  <si>
    <t>외부복층28mm(5일반+18아르곤+5수퍼로이)</t>
  </si>
  <si>
    <t>외부복층6mm(5일반+16아르곤+5듀라맥스)</t>
  </si>
  <si>
    <t>외부복층26mm(5일반+16아르곤+5듀라맥스)</t>
  </si>
  <si>
    <t xml:space="preserve">외부복층26mm(5수퍼더블로이+16공기+5일반)
</t>
  </si>
  <si>
    <t xml:space="preserve">외부복층26mm(5일반+16공기+5일반)
</t>
  </si>
  <si>
    <t xml:space="preserve">외부복층26mm(5수퍼더블로이+16아르곤+5일반)
</t>
  </si>
  <si>
    <t xml:space="preserve">외부복층28mm(5수퍼더블로이+18아르곤+5일반)
</t>
  </si>
  <si>
    <t xml:space="preserve">외부복층28mm(5수퍼더블로이+18공기+5일반)
</t>
  </si>
  <si>
    <t xml:space="preserve">외부복층28mm(5일반+18공기+5일반)
</t>
  </si>
  <si>
    <t xml:space="preserve">외부복층24mm(5수퍼더블로이+14공기+5일반)
</t>
  </si>
  <si>
    <t xml:space="preserve">외부복층24mm(5수퍼더블로이+14아르곤+5일반)
</t>
  </si>
  <si>
    <t xml:space="preserve">외부복층22mm(5수퍼더블로이+12공기+5일반)
</t>
  </si>
  <si>
    <t xml:space="preserve">외부복층24mm(5일반+14공기+5일반)
</t>
  </si>
  <si>
    <t xml:space="preserve">외부복층22mm(5일반+12아르곤+5수퍼로이2)
</t>
  </si>
  <si>
    <t xml:space="preserve">외부복층26mm(5일반+16공기+5수퍼로이2)
</t>
  </si>
  <si>
    <t xml:space="preserve">외부복층26mm(5일반+16아르곤+5수퍼로이2)
</t>
  </si>
  <si>
    <t>내부복층26mm(5일반+16공기+5일반)</t>
  </si>
  <si>
    <t>내부복층26mm(5일반+16아르곤+5수퍼로이2)</t>
  </si>
  <si>
    <t>내부복층28mm(5일반+18아르곤+5수퍼로이2)</t>
  </si>
  <si>
    <t>내부복층26mm(5일반+16공기+5수퍼로이2)</t>
  </si>
  <si>
    <t>내부복층28mm(5일반+18공기+5일반)</t>
  </si>
  <si>
    <t>내부복층28mm(5일반+18공기+5수퍼로이2)</t>
  </si>
  <si>
    <t>내부복층24mm(5일반+14공기+5일반)</t>
  </si>
  <si>
    <t>내부복층24mm(5일반+14아르곤+5수퍼로이2)</t>
  </si>
  <si>
    <t>내부복층22mm(5일반+12공기+5수퍼로이2)</t>
  </si>
  <si>
    <t>내부복층24mm(5일반+14공기+5수퍼로이2)</t>
  </si>
  <si>
    <t>내부복층22mm(5일반+12아르곤+5수퍼로이2)</t>
  </si>
  <si>
    <t>내부복층26mm(5일반+16아르곤+5수퍼로이)</t>
  </si>
  <si>
    <t>내부복층26mm(5일반+16공기+5수퍼로이)</t>
  </si>
  <si>
    <t>내부복층22mm(5공기+12공기+5로이)</t>
  </si>
  <si>
    <t>내부복층26mm(5일반+16아르곤+5듀라플러스LE)</t>
  </si>
  <si>
    <t>내부복층26mm(5수퍼더블로이+16공기+5일반)</t>
  </si>
  <si>
    <t>내부복층24mm(5일반+14공기+5수퍼로이)</t>
  </si>
  <si>
    <t>내부복층24mm(5일반+14아르곤+5수퍼로이)</t>
  </si>
  <si>
    <t>내부복층28mm(5일반+18공기+5수퍼로이)</t>
  </si>
  <si>
    <t>내부복층28mm(5일반+18아르곤+5수퍼로이)</t>
  </si>
  <si>
    <t>내부복층26mm(5일반+16아르곤+5듀라맥스)</t>
  </si>
  <si>
    <t>외부픽스25.76mm(접합10.76+10공기+5일반)</t>
  </si>
  <si>
    <t>외부픽스25.76mm(접합10.76+10공기+5수퍼로이)</t>
  </si>
  <si>
    <t>외부픽스25.76mm(접합10.76+10아르곤+5수퍼로이)</t>
  </si>
  <si>
    <t>외부픽스25.76mm(5수퍼더블로이+10아르곤+접합10.76)</t>
  </si>
  <si>
    <t>외부픽스25.76mm(5수퍼더블로이+10공기+접합10.76)</t>
  </si>
  <si>
    <t>외부픽스23.76mm(접합8.76+10공기+5로이)</t>
  </si>
  <si>
    <t>외측기타유리(외부벤트)</t>
    <phoneticPr fontId="2" type="noConversion"/>
  </si>
  <si>
    <t>내측상부유리(내부)</t>
    <phoneticPr fontId="2" type="noConversion"/>
  </si>
  <si>
    <t>외부벤트26mm(5일반+16공기+5일반)</t>
  </si>
  <si>
    <t>외부벤트26mm(5일반+16공기+5수퍼로이)</t>
  </si>
  <si>
    <t>외부벤트26mm(5일반+16아르곤+5수퍼로이)</t>
  </si>
  <si>
    <t>외부벤트26mm(5수퍼더블로이+16아르곤+5일반)</t>
  </si>
  <si>
    <t>외부벤트26mm(5수퍼더블로이+16공기+5일반)</t>
  </si>
  <si>
    <t>외부벤트22mm(5공기+12공기+5로이)</t>
  </si>
  <si>
    <t>외측상부유리</t>
    <phoneticPr fontId="2" type="noConversion"/>
  </si>
  <si>
    <t>유리난간(외부픽스)</t>
    <phoneticPr fontId="2" type="noConversion"/>
  </si>
  <si>
    <t>F-250-466KGGG2A5</t>
  </si>
  <si>
    <t>F-140-226FFKG1R5</t>
  </si>
  <si>
    <t>F-145-226FFKG1R5</t>
  </si>
  <si>
    <t>F-250-466GGGS1R5</t>
  </si>
  <si>
    <t>F-140-228FFKG1R5</t>
  </si>
  <si>
    <t>F-250-466KGGG1R5</t>
  </si>
  <si>
    <t>F-250-488KGGS2R5</t>
  </si>
  <si>
    <t>F-250-466GGGS2A5</t>
  </si>
  <si>
    <t>F-140-226FFKG1A5</t>
  </si>
  <si>
    <t>F-250-466KGGS1R5</t>
  </si>
  <si>
    <t>F-140-226FFGS1A5</t>
  </si>
  <si>
    <t>F-140-226FFGS1R5</t>
  </si>
  <si>
    <t>F-230W-226FFKG1R5</t>
  </si>
  <si>
    <t>F-230WF-226FFKG1R5</t>
  </si>
  <si>
    <t>F-265-466GGGS2A5</t>
  </si>
  <si>
    <t>F-285-466KGGS2R5</t>
  </si>
  <si>
    <t>F-285-466KGGG2A5</t>
  </si>
  <si>
    <t>F-285-466KGGG1R5</t>
  </si>
  <si>
    <t>F-265-466KGGG1R5</t>
  </si>
  <si>
    <t>F-265-466GGGS1R5</t>
  </si>
  <si>
    <t>F-285-488KGGS2R5</t>
  </si>
  <si>
    <t>F-285-466GGGS2A5</t>
  </si>
  <si>
    <t>F-265-466KGGG2A5</t>
  </si>
  <si>
    <t>F-265-488KGGS2R5</t>
  </si>
  <si>
    <t>F-285-466GGGS1R5</t>
  </si>
  <si>
    <t>F-265-466KGGS2R5</t>
  </si>
  <si>
    <t>F-230WF-226FFGS1R5</t>
  </si>
  <si>
    <t>F-230W-226FFKG1A5</t>
  </si>
  <si>
    <t>F-230W-226FFGS1R5</t>
  </si>
  <si>
    <t>F-230WF-228FFKG1R5</t>
  </si>
  <si>
    <t>F-230WF-226FFGS1A5</t>
  </si>
  <si>
    <t>F-230WF-226FFKG1A5</t>
  </si>
  <si>
    <t>F-230W-228FFKG1R5</t>
  </si>
  <si>
    <t>F-230W-226FFGS1A5</t>
  </si>
  <si>
    <t>F-145-226FFKG1A5</t>
  </si>
  <si>
    <t>F-145-226FFGS1R5</t>
  </si>
  <si>
    <t>F-145-226FFGS1A5</t>
  </si>
  <si>
    <t>F-145-228FFKG1R5</t>
  </si>
  <si>
    <t>F-140S-226FFGS1A5</t>
  </si>
  <si>
    <t>F-140S-226FFKG1R5</t>
  </si>
  <si>
    <t>F-140S-226FFGS1R5</t>
  </si>
  <si>
    <t>F-140S-226FFKG1A5</t>
  </si>
  <si>
    <t>F-140S-224FFKG1A5</t>
  </si>
  <si>
    <t>F-140S-228FFGS1A5</t>
  </si>
  <si>
    <t>F-250S-466GGGS1R5</t>
  </si>
  <si>
    <t>F-140S-224FFKG1R5</t>
  </si>
  <si>
    <t>F-250S-466KGGS2R5</t>
  </si>
  <si>
    <t>F-250S-466KGGG2A5</t>
  </si>
  <si>
    <t>F-140S-228FFKG1A5</t>
  </si>
  <si>
    <t>F-140S-224FFGS1R5</t>
  </si>
  <si>
    <t>F-250S-466KGGG1R5</t>
  </si>
  <si>
    <t>F-250S-466GGGS2A5</t>
  </si>
  <si>
    <t>F-230WS-228FFKG1R5</t>
  </si>
  <si>
    <t>F-230WS-226FFGS1A5</t>
  </si>
  <si>
    <t>F-230WS-226FFKG1R5</t>
  </si>
  <si>
    <t>F-230WS-226FFKG1A5</t>
  </si>
  <si>
    <t>F-140S-224FFGS1A5</t>
  </si>
  <si>
    <t>F-285-488KGGG2A5</t>
  </si>
  <si>
    <t>F-265-488KGGG2A5</t>
  </si>
  <si>
    <t>F-265-488GGGS1R5</t>
  </si>
  <si>
    <t>F-265-488GGGS2A5</t>
  </si>
  <si>
    <t>F-285-488GGGS2A5</t>
  </si>
  <si>
    <t>F-265-488KGGG1R5</t>
  </si>
  <si>
    <t>F-285-488GGGS1R5</t>
  </si>
  <si>
    <t>F-285-488KGGG1R5</t>
  </si>
  <si>
    <t>F-230WS-226FFGS1R5</t>
  </si>
  <si>
    <t>F-230WS-224FFGS1A5</t>
  </si>
  <si>
    <t>F-230WS-228FFGS1A5</t>
  </si>
  <si>
    <t>F-230WS-228FFKG1A5</t>
  </si>
  <si>
    <t>F-230WS-224FFKG1A5</t>
  </si>
  <si>
    <t>F-230WS-224FFKG1R5</t>
  </si>
  <si>
    <t>F-230WS-224FFGS1R5</t>
  </si>
  <si>
    <t>F-230WS-228FFGS1R5</t>
  </si>
  <si>
    <t>F-285-444KGGG2A5</t>
  </si>
  <si>
    <t>F-265-444KGGG2A5</t>
  </si>
  <si>
    <t>F-285-444KGGS2R5</t>
  </si>
  <si>
    <t>F-265-444KGGG1R5</t>
  </si>
  <si>
    <t>F-265-444KGGS2R5</t>
  </si>
  <si>
    <t>F-285-444KGGG1R5</t>
  </si>
  <si>
    <t>F-250S-444KGGS2R5</t>
  </si>
  <si>
    <t>F-250S-488GGGS2A5</t>
  </si>
  <si>
    <t>F-250S-444KGGG1R5</t>
  </si>
  <si>
    <t>F-250S-422KGGS2A5</t>
  </si>
  <si>
    <t>F-250S-444GGGS2A5</t>
  </si>
  <si>
    <t>F-250S-422GSGS2R5</t>
  </si>
  <si>
    <t>F-250S-444KGGG2A5</t>
  </si>
  <si>
    <t>F-250S-488KGGG2A5</t>
  </si>
  <si>
    <t>F-250S-444GGGS1R5</t>
  </si>
  <si>
    <t>F-145S-226FFGS1R5</t>
  </si>
  <si>
    <t>F-145S-226FFKG1R5</t>
  </si>
  <si>
    <t>F-145S-226FFGS1A5</t>
  </si>
  <si>
    <t>F-145S-226FFKG1A5</t>
  </si>
  <si>
    <t>F-145S-228FFKG1R5</t>
  </si>
  <si>
    <t>F-265S-466KGGG2A5</t>
  </si>
  <si>
    <t>F-265S-466KGGS2R5</t>
  </si>
  <si>
    <t>F-265S-466GGGS1R5</t>
  </si>
  <si>
    <t>F-265S-466KGGG1R5</t>
  </si>
  <si>
    <t>F-285S-466KGGG2A5</t>
  </si>
  <si>
    <t>F-285S-466GGGS1R5</t>
  </si>
  <si>
    <t>F-285S-466KGGG1R5</t>
  </si>
  <si>
    <t>F-285S-466KGGS2R5</t>
  </si>
  <si>
    <t>F-265S-488KGGS2R5</t>
  </si>
  <si>
    <t>F-140-226FFGG1A5</t>
  </si>
  <si>
    <t>F-140-228FFGS1R5</t>
  </si>
  <si>
    <t>F-140-228FFKG1A5</t>
  </si>
  <si>
    <t>F-140-224FFGS1R5</t>
  </si>
  <si>
    <t>F-140-228FFGS1A5</t>
  </si>
  <si>
    <t>F-285S-488KGGS2R5</t>
  </si>
  <si>
    <t>F-145-228FFGS1R5</t>
  </si>
  <si>
    <t>F-145-224FFGS1R5</t>
  </si>
  <si>
    <t>F-140S-228FFKG1R5</t>
  </si>
  <si>
    <t>F-250S-488KGGS2R5</t>
  </si>
  <si>
    <t>F-140S-228FFGS1R5</t>
  </si>
  <si>
    <t>F-145S-228FFGS1R5</t>
  </si>
  <si>
    <t>F-140S-226FFGG1A5</t>
  </si>
  <si>
    <t>F-145S-224FFGS1R5</t>
  </si>
  <si>
    <t>F-250-466KGGS2R5</t>
  </si>
  <si>
    <t>F-250-444KGGG2A5</t>
  </si>
  <si>
    <t>F-250-444KGGS2R5</t>
  </si>
  <si>
    <t>F-230WF-228FFKG1A5</t>
  </si>
  <si>
    <t>F-230WF-224FFGS1R5</t>
  </si>
  <si>
    <t>F-230WF-224FFKG1R5</t>
  </si>
  <si>
    <t>F-230WF-228FFGS1R5</t>
  </si>
  <si>
    <t>F-265S-422KGGS2A5</t>
  </si>
  <si>
    <t>F-265S-444KGGG1R5</t>
  </si>
  <si>
    <t>F-265S-488KGGG2A5</t>
  </si>
  <si>
    <t>F-265S-444KGGS2R5</t>
  </si>
  <si>
    <t>F-265S-422GSGS2R5</t>
  </si>
  <si>
    <t>F-265S-488KGGG1R5</t>
  </si>
  <si>
    <t>F-285S-466GGGS2A5</t>
  </si>
  <si>
    <t>F-230W-228FFGS1A5</t>
  </si>
  <si>
    <t>F-230W-224FFKG1A5</t>
  </si>
  <si>
    <t>F-230W-228FFKG1A5</t>
  </si>
  <si>
    <t>F-230W-224FFGS1R5</t>
  </si>
  <si>
    <t>F-230W-228FFGS1R5</t>
  </si>
  <si>
    <t>F-230W-224FFKG1R5</t>
  </si>
  <si>
    <t>F-230WF-224FFKG1A5</t>
  </si>
  <si>
    <t>F-230WF-224FFGS1A5</t>
  </si>
  <si>
    <t>F-230WF-228FFGS1A5</t>
  </si>
  <si>
    <t>F-265S-444KGGG2A5</t>
  </si>
  <si>
    <t>F-230W-224FFGS1A5</t>
  </si>
  <si>
    <t>F-250-488GGGS1R5</t>
  </si>
  <si>
    <t>F-250S-466GGGG2A5</t>
  </si>
  <si>
    <t>F-250-444GGGG2A5</t>
  </si>
  <si>
    <t>F-250-488GGGG2A5</t>
  </si>
  <si>
    <t>F-250S-444GGGG2A5</t>
  </si>
  <si>
    <t>F-250S-488GGGG2A5</t>
  </si>
  <si>
    <t>F-250-466GGGG2A5</t>
  </si>
  <si>
    <t>F-250S-488KGGG1R5</t>
  </si>
  <si>
    <t>F-250S-488GGGS1R5</t>
  </si>
  <si>
    <t>F-140-224FFGG1A5</t>
  </si>
  <si>
    <t>F-140-228FFGG1A5</t>
  </si>
  <si>
    <t>F-140S-224FFGG1A5</t>
  </si>
  <si>
    <t>F-140S-228FFGG1A5</t>
  </si>
  <si>
    <t>F-250-488KGGG1R5</t>
  </si>
  <si>
    <t>F-145S-224FFGG1A5</t>
  </si>
  <si>
    <t>F-145S-228FFKG1A5</t>
  </si>
  <si>
    <t>F-145S-228FFGG1A5</t>
  </si>
  <si>
    <t>F-145S-224FFGS1A5</t>
  </si>
  <si>
    <t>F-145S-224FFKG1A5</t>
  </si>
  <si>
    <t>F-145-224FFGG1A5</t>
  </si>
  <si>
    <t>F-145-228FFGG1A5</t>
  </si>
  <si>
    <t>F-265S-444GGGS1R5</t>
  </si>
  <si>
    <t>F-265S-488GGGS2A5</t>
  </si>
  <si>
    <t>F-265S-488GGGS1R5</t>
  </si>
  <si>
    <t>F-265S-444GGGS2A5</t>
  </si>
  <si>
    <t>F-145-224FFKG1R5</t>
  </si>
  <si>
    <t>F-145-228FFGS1A5</t>
  </si>
  <si>
    <t>F-TD140-224FFUG1R5</t>
  </si>
  <si>
    <t>F-TD140-224FFGS1R5</t>
  </si>
  <si>
    <t>F-250-466GSGG2A5</t>
  </si>
  <si>
    <t>F-250-466GSGG1R5</t>
  </si>
  <si>
    <t>F-250-466UGGG2A5</t>
  </si>
  <si>
    <t>F-250GH-8566MGGS1R5</t>
  </si>
  <si>
    <t>F-140GH-7526MSGS1A5</t>
  </si>
  <si>
    <t>F-140GH-7526MSGS1R5</t>
  </si>
  <si>
    <t>F-140GH-7526KMKG1R5</t>
  </si>
  <si>
    <t>F-250GH-8566KGGG2A5</t>
  </si>
  <si>
    <t>F-250GH-8566MGGS2A5</t>
  </si>
  <si>
    <t>F-140GH-7526KMKG1A5</t>
  </si>
  <si>
    <t>F-250GH-8566KGGG1R5</t>
  </si>
  <si>
    <t>F-265GH-8566MGGS2A5</t>
  </si>
  <si>
    <t>F-265GH-8566MGGS1R5</t>
  </si>
  <si>
    <t>F-265GH-8566KGGG2A5</t>
  </si>
  <si>
    <t>F-265GH-8566KGGG1R5</t>
  </si>
  <si>
    <t>F-285GH-8566KGGG1R5</t>
  </si>
  <si>
    <t>F-250SGHR-8322MLGL2A5</t>
  </si>
  <si>
    <t>F-265S-488GGGG2A5</t>
  </si>
  <si>
    <t>F-265S-444GGGG2A5</t>
  </si>
  <si>
    <t>F-265S-466GGGG2A5</t>
  </si>
  <si>
    <t>F-285-444GGGS2A5</t>
  </si>
  <si>
    <t>F-285-444GGGG2A5</t>
  </si>
  <si>
    <t>F-285-444GGGS1R5</t>
  </si>
  <si>
    <t>F-285-466GGGG2A5</t>
  </si>
  <si>
    <t>F-285-488GGGG2A5</t>
  </si>
  <si>
    <t>F-265-444GGGG2A5</t>
  </si>
  <si>
    <t>F-265-466GGGG2A5</t>
  </si>
  <si>
    <t>F-265-444GGGS1R5</t>
  </si>
  <si>
    <t>F-265-488GGGG2A5</t>
  </si>
  <si>
    <t>F-265-444GGGS2A5</t>
  </si>
  <si>
    <t>F-145S-224FFKG1R5</t>
  </si>
  <si>
    <t>F-145S-226FFGG1A5</t>
  </si>
  <si>
    <t>F-145S-228FFGS1A5</t>
  </si>
  <si>
    <t>F-145-224FFGS1A5</t>
  </si>
  <si>
    <t>F-145-224FFKG1A5</t>
  </si>
  <si>
    <t>F-145-228FFKG1A5</t>
  </si>
  <si>
    <t>F-145-226FFGG1A5</t>
  </si>
  <si>
    <t>F-265S-466GGGS2A5</t>
  </si>
  <si>
    <t>F-145GH-7526MSGS1A5</t>
  </si>
  <si>
    <t>F-145GH-7526MLGL1R5</t>
  </si>
  <si>
    <t>F-145GH-7526MSGS1R5</t>
  </si>
  <si>
    <t>F-145GH-7526MLGL1A5</t>
  </si>
  <si>
    <t>F-140-226FFUG1A5</t>
  </si>
  <si>
    <t>F-250-488KGGG2A5</t>
  </si>
  <si>
    <t>F-140-226FFGL1R5-1</t>
  </si>
  <si>
    <t>F-250-466GGGL1R5-1</t>
  </si>
  <si>
    <t>F-145-226FFGL1R5-1</t>
  </si>
  <si>
    <t>F-285-466GGGL1R5-1</t>
  </si>
  <si>
    <t>F-265-466GGGL1R5-1</t>
  </si>
  <si>
    <t>F-250I-466KGKG2A5</t>
  </si>
  <si>
    <t>F-250I-466GGGG2A5</t>
  </si>
  <si>
    <t>F-250I-466GGKG2A5</t>
  </si>
  <si>
    <t>F-250I-466KGGG2A5</t>
  </si>
  <si>
    <t>F-270I-466GGKG2A5</t>
  </si>
  <si>
    <t>F-270I-466KGKG2A5</t>
  </si>
  <si>
    <t>F-270I-466KGGG2A5</t>
  </si>
  <si>
    <t>F-270I-466GGGG2A5</t>
  </si>
  <si>
    <t>F-130I-226FFGG1A5</t>
  </si>
  <si>
    <t>F-130I-226FFKG1A5</t>
  </si>
  <si>
    <t>F-130I-224FFGS1R5</t>
  </si>
  <si>
    <t>F-130I-224FFKG1R5</t>
  </si>
  <si>
    <t>F-130I-226FFGS1A5</t>
  </si>
  <si>
    <t>F-130I-226FFGS1R5</t>
  </si>
  <si>
    <t>F-130I-226FFKG1R5</t>
  </si>
  <si>
    <t>F-130I-224FFGG1A5</t>
  </si>
  <si>
    <t>F-130I-224FFGS1A5</t>
  </si>
  <si>
    <t>F-250I-444GGGS2A5</t>
  </si>
  <si>
    <t>F-250I-466GGGS2A5</t>
  </si>
  <si>
    <t>F-270I-444KGGG2A5</t>
  </si>
  <si>
    <t>F-270I-444KGGG1R5</t>
  </si>
  <si>
    <t>F-250I-444GGGG2A5</t>
  </si>
  <si>
    <t>F-250I-444GGGS1R5</t>
  </si>
  <si>
    <t>F-250I-444KGGG1R5</t>
  </si>
  <si>
    <t>F-270I-444GGGG2A5</t>
  </si>
  <si>
    <t>F-270I-444GGGS2A5</t>
  </si>
  <si>
    <t>F-270I-444GGGS1R5</t>
  </si>
  <si>
    <t>F-270I-466GGGS2A5</t>
  </si>
  <si>
    <t>F-250I-444KGGG2A5</t>
  </si>
  <si>
    <t>F-130I-224FFKG1A5</t>
  </si>
  <si>
    <t>F-130I-228FFGG1A5</t>
  </si>
  <si>
    <t>F-130I-228FFGS1A5</t>
  </si>
  <si>
    <t>F-130I-228FFKG1R5</t>
  </si>
  <si>
    <t>F-250I-466GGGS1R5</t>
  </si>
  <si>
    <t>F-250I-466KGGG1R5</t>
  </si>
  <si>
    <t>F-130I-228FFKG1A5</t>
  </si>
  <si>
    <t>F-130I-228FFGS1R5</t>
  </si>
  <si>
    <t>F-270I-466GGGS1R5</t>
  </si>
  <si>
    <t>F-270I-466KGGG1R5</t>
  </si>
  <si>
    <t>F-250I-488GGGG2A5</t>
  </si>
  <si>
    <t>F-250I-488KGGG2A5</t>
  </si>
  <si>
    <t>F-250I-488GGGS2A5</t>
  </si>
  <si>
    <t>F-250I-488KGGG1R5</t>
  </si>
  <si>
    <t>F-270I-488KGGG1R5</t>
  </si>
  <si>
    <t>F-270I-488GGGG2A5</t>
  </si>
  <si>
    <t>F-270I-488GGGS2A5</t>
  </si>
  <si>
    <t>F-270I-488KGGG2A5</t>
  </si>
  <si>
    <t>F-270I-488GGGS1R5</t>
  </si>
  <si>
    <t>F-250I-488GGGS1R5</t>
  </si>
  <si>
    <t>F-270I-466GGGL1R5-2</t>
  </si>
  <si>
    <t>F-250I-466GGGL1R5-2</t>
  </si>
  <si>
    <t>F-250-466GGGL1R5-2</t>
  </si>
  <si>
    <t>F-145-226FFGL1R5-2</t>
  </si>
  <si>
    <t>F-285-466GGGL1R5-2</t>
  </si>
  <si>
    <t>F-130I-226FFGL1R5-2</t>
  </si>
  <si>
    <t>F-140-226FFGL1R5-2</t>
  </si>
  <si>
    <t>F-265-466GGGL1R5-2</t>
  </si>
  <si>
    <t>F-250I-466UGGG2A5</t>
  </si>
  <si>
    <t>F-130I-226FFUG1A5</t>
  </si>
  <si>
    <t>F-130IS-228FFGG1A5</t>
  </si>
  <si>
    <t>F-250IS-488GGGS2A5</t>
  </si>
  <si>
    <t>F-130IS-226FFGG1A5</t>
  </si>
  <si>
    <t>F-270IS-488GGGS2A5</t>
  </si>
  <si>
    <t>F-130IS-224FFGG1A5</t>
  </si>
  <si>
    <t>F-270IS-444GGGS1R5</t>
  </si>
  <si>
    <t>F-250IS-466GGGS2A5</t>
  </si>
  <si>
    <t>F-250IS-444GGGS1R5</t>
  </si>
  <si>
    <t>F-130IS-228FFGS1A5</t>
  </si>
  <si>
    <t>F-130IS-226FFGS1R5</t>
  </si>
  <si>
    <t>F-270IS-466GGGS2A5</t>
  </si>
  <si>
    <t>F-130IS-224FFGS1R5</t>
  </si>
  <si>
    <t>외부복층26mm(5일반+16공기+5수퍼로이2)</t>
  </si>
  <si>
    <t>외부복층26mm(5일반+16아르곤+5수퍼로이2)</t>
  </si>
  <si>
    <t>외부복층28mm(5일반+18공기+5수퍼로이2)</t>
  </si>
  <si>
    <t>외부복층24mm(5일반+14아르곤+5수퍼로이2)</t>
  </si>
  <si>
    <t>외부복층24mm(5일반+14공기+5수퍼로이2)</t>
  </si>
  <si>
    <t>외부복층28mm(5일반+18아르곤+5수퍼로이2)</t>
  </si>
  <si>
    <t>유리난간10.76mm(5일반+0.76접합+5일반)</t>
  </si>
  <si>
    <t>LXH-EA24-002</t>
  </si>
  <si>
    <t>LXH-EA24-003</t>
  </si>
  <si>
    <t>LXH-EA24-004</t>
  </si>
  <si>
    <t>LXH-EA24-005</t>
  </si>
  <si>
    <t>LXH-EA24-006</t>
  </si>
  <si>
    <t>LXH-EA24-007</t>
  </si>
  <si>
    <t>LXH-EA24-008</t>
  </si>
  <si>
    <t>LXH-EA24-009</t>
  </si>
  <si>
    <t>LXH-EA24-075</t>
  </si>
  <si>
    <t>LXH-EA24-011</t>
  </si>
  <si>
    <t>LXH-EA24-012</t>
  </si>
  <si>
    <t>LXH-EA24-013</t>
  </si>
  <si>
    <t>LXH-EA24-014</t>
  </si>
  <si>
    <t>LXH-EA24-015</t>
  </si>
  <si>
    <t>LXH-EA24-016</t>
  </si>
  <si>
    <t>LXH-EA24-017</t>
  </si>
  <si>
    <t>LXH-EA24-018</t>
  </si>
  <si>
    <t>LXH-EA24-019</t>
  </si>
  <si>
    <t>LXH-EA24-020</t>
  </si>
  <si>
    <t>LXH-EA24-021</t>
  </si>
  <si>
    <t>LXH-EA24-022</t>
  </si>
  <si>
    <t>LXH-EA24-023</t>
  </si>
  <si>
    <t>LXH-EA24-024</t>
  </si>
  <si>
    <t>LXH-EA24-025</t>
  </si>
  <si>
    <t>LXH-EA24-026</t>
  </si>
  <si>
    <t>LXH-EA24-027</t>
  </si>
  <si>
    <t>LXH-EA24-028</t>
  </si>
  <si>
    <t>LXH-EA24-029</t>
  </si>
  <si>
    <t>LXH-EA24-030</t>
  </si>
  <si>
    <t>LXH-EA24-031</t>
  </si>
  <si>
    <t>LXH-EA24-032</t>
  </si>
  <si>
    <t>LXH-EA24-033</t>
  </si>
  <si>
    <t>LXH-EA24-034</t>
  </si>
  <si>
    <t>LXH-EA24-035</t>
  </si>
  <si>
    <t>LXH-EA24-036</t>
  </si>
  <si>
    <t>LXH-EA24-037</t>
  </si>
  <si>
    <t>LXH-EA24-038</t>
  </si>
  <si>
    <t>LXH-EA24-039</t>
  </si>
  <si>
    <t>LXH-EA24-040</t>
  </si>
  <si>
    <t>LXH-EA24-041</t>
  </si>
  <si>
    <t>LXH-EA24-042</t>
  </si>
  <si>
    <t>LXH-EA24-043</t>
  </si>
  <si>
    <t>LXH-EA24-044</t>
  </si>
  <si>
    <t>LXH-EA24-045</t>
  </si>
  <si>
    <t>LXH-EA24-046</t>
  </si>
  <si>
    <t>LXH-EA24-047</t>
  </si>
  <si>
    <t>LXH-EA24-048</t>
  </si>
  <si>
    <t>LXH-EA24-049</t>
  </si>
  <si>
    <t>LXH-EA24-050</t>
  </si>
  <si>
    <t>LXH-EA24-051</t>
  </si>
  <si>
    <t>LXH-EA24-052</t>
  </si>
  <si>
    <t>LXH-EA24-053</t>
  </si>
  <si>
    <t>LXH-EA24-054</t>
  </si>
  <si>
    <t>LXH-EA24-055</t>
  </si>
  <si>
    <t>LXH-EA24-056</t>
  </si>
  <si>
    <t>LXH-EA24-057</t>
  </si>
  <si>
    <t>LXH-EA24-058</t>
  </si>
  <si>
    <t>LXH-EA24-059</t>
  </si>
  <si>
    <t>LXH-EA24-060</t>
  </si>
  <si>
    <t>LXH-EA24-061</t>
  </si>
  <si>
    <t>LXH-EA24-062</t>
  </si>
  <si>
    <t>LXH-EA24-063</t>
  </si>
  <si>
    <t>LXH-EA24-064</t>
  </si>
  <si>
    <t>LXH-EA24-065</t>
  </si>
  <si>
    <t>LXH-EA24-066</t>
  </si>
  <si>
    <t>LXH-EA24-067</t>
  </si>
  <si>
    <t>LXH-EA24-068</t>
  </si>
  <si>
    <t>LXH-EA24-069</t>
  </si>
  <si>
    <t>LXH-EA24-070</t>
  </si>
  <si>
    <t>LXH-EA24-071</t>
  </si>
  <si>
    <t>LXH-EA24-072</t>
  </si>
  <si>
    <t>LXH-EA24-073</t>
  </si>
  <si>
    <t>LXH-EA24-074</t>
  </si>
  <si>
    <t>LXH-EA24-076</t>
  </si>
  <si>
    <t>LXH-EA24-077</t>
  </si>
  <si>
    <t>LXH-EA24-078</t>
  </si>
  <si>
    <t>LXH-EA24-079</t>
  </si>
  <si>
    <t>LXH-EA24-080</t>
  </si>
  <si>
    <t>LXH-EA24-081</t>
  </si>
  <si>
    <t>LXH-EA24-084</t>
  </si>
  <si>
    <t>LXH-EA24-085</t>
  </si>
  <si>
    <t>LXH-EA24-086</t>
  </si>
  <si>
    <t>LXH-EA24-087</t>
  </si>
  <si>
    <t>LXH-EA24-088</t>
  </si>
  <si>
    <t>LXH-EA24-089</t>
  </si>
  <si>
    <t>LXH-EA24-090</t>
  </si>
  <si>
    <t>LXH-EA24-091</t>
  </si>
  <si>
    <t>LXH-EA24-092</t>
  </si>
  <si>
    <t>LXH-EA24-093</t>
  </si>
  <si>
    <t>LXH-EA24-094</t>
  </si>
  <si>
    <t>LXH-EA24-095</t>
  </si>
  <si>
    <t>LXH-EA24-096</t>
  </si>
  <si>
    <t>LXH-EA24-097</t>
  </si>
  <si>
    <t>LXH-EA24-099</t>
  </si>
  <si>
    <t>LXH-EA24-100</t>
  </si>
  <si>
    <t>LXH-EA24-101</t>
  </si>
  <si>
    <t>LXH-EA24-102</t>
  </si>
  <si>
    <t>LXH-EA24-103</t>
  </si>
  <si>
    <t>LXH-EA24-104</t>
  </si>
  <si>
    <t>LXH-EA24-105</t>
  </si>
  <si>
    <t>LXH-EA24-106</t>
  </si>
  <si>
    <t>LXH-EA24-107</t>
  </si>
  <si>
    <t>LXH-EA24-108</t>
  </si>
  <si>
    <t>LXH-EA24-109</t>
  </si>
  <si>
    <t>LXH-EA24-110</t>
  </si>
  <si>
    <t>LXH-EA24-111</t>
  </si>
  <si>
    <t>LXH-EA24-112</t>
  </si>
  <si>
    <t>LXH-EA24-113</t>
  </si>
  <si>
    <t>LXH-EA24-114</t>
  </si>
  <si>
    <t>LXH-EA24-115</t>
  </si>
  <si>
    <t>LXH-EA24-116</t>
  </si>
  <si>
    <t>LXH-EA24-117</t>
  </si>
  <si>
    <t>LXH-EA24-118</t>
  </si>
  <si>
    <t>LXH-EA24-119</t>
  </si>
  <si>
    <t>LXH-EA24-120</t>
  </si>
  <si>
    <t>LXH-EA24-121</t>
  </si>
  <si>
    <t>LXH-EA24-122</t>
  </si>
  <si>
    <t>LXH-EA24-123</t>
  </si>
  <si>
    <t>LXH-EA24-124</t>
  </si>
  <si>
    <t>LXH-EA24-150</t>
  </si>
  <si>
    <t>LXH-EA24-148</t>
  </si>
  <si>
    <t>LXH-EA24-146</t>
  </si>
  <si>
    <t>LXH-EA24-145</t>
  </si>
  <si>
    <t>LXH-EA24-144</t>
  </si>
  <si>
    <t>LXH-EA24-143</t>
  </si>
  <si>
    <t>LXH-EA24-142</t>
  </si>
  <si>
    <t>LXH-EA24-140</t>
  </si>
  <si>
    <t>LXH-EA24-139</t>
  </si>
  <si>
    <t>LXH-EA24-138</t>
  </si>
  <si>
    <t>LXH-EA24-137</t>
  </si>
  <si>
    <t>LXH-EA24-135</t>
  </si>
  <si>
    <t>LXH-EA24-133</t>
  </si>
  <si>
    <t>LXH-EA24-132</t>
  </si>
  <si>
    <t>LXH-EA24-131</t>
  </si>
  <si>
    <t>LXH-EA24-130</t>
  </si>
  <si>
    <t>LXH-EA24-129</t>
  </si>
  <si>
    <t>LXH-EA24-151</t>
  </si>
  <si>
    <t>LXH-EA24-149</t>
  </si>
  <si>
    <t>LXH-EA24-147</t>
  </si>
  <si>
    <t>LXH-EA24-134</t>
  </si>
  <si>
    <t>LXH-EA24-174</t>
  </si>
  <si>
    <t>LXH-EA24-173</t>
  </si>
  <si>
    <t>LXH-EA24-172</t>
  </si>
  <si>
    <t>LXH-EA24-171</t>
  </si>
  <si>
    <t>LXH-EA24-170</t>
  </si>
  <si>
    <t>LXH-EA24-169</t>
  </si>
  <si>
    <t>LXH-EA24-168</t>
  </si>
  <si>
    <t>LXH-EA24-167</t>
  </si>
  <si>
    <t>LXH-EA24-166</t>
  </si>
  <si>
    <t>LXH-EA24-178</t>
  </si>
  <si>
    <t>LXH-EA24-177</t>
  </si>
  <si>
    <t>LXH-EA24-176</t>
  </si>
  <si>
    <t>LXH-EA24-175</t>
  </si>
  <si>
    <t>LXH-EA24-179</t>
  </si>
  <si>
    <t>LXH-EA24-186</t>
  </si>
  <si>
    <t>LXH-EA24-185</t>
  </si>
  <si>
    <t>LXH-EA24-184</t>
  </si>
  <si>
    <t>LXH-EA24-183</t>
  </si>
  <si>
    <t>LXH-EA24-182</t>
  </si>
  <si>
    <t>LXH-EA24-181</t>
  </si>
  <si>
    <t>LXH-EA24-180</t>
  </si>
  <si>
    <t>LXH-EA24-155</t>
  </si>
  <si>
    <t>LXH-EA24-154</t>
  </si>
  <si>
    <t>LXH-EA24-153</t>
  </si>
  <si>
    <t>LXH-EA24-152</t>
  </si>
  <si>
    <t>LXH-EA24-161</t>
  </si>
  <si>
    <t>LXH-EA24-160</t>
  </si>
  <si>
    <t>LXH-EA24-001</t>
  </si>
  <si>
    <t>LXH-EA23-008</t>
  </si>
  <si>
    <t>LXH-EA24-217</t>
  </si>
  <si>
    <t>LXH-EA24-216</t>
  </si>
  <si>
    <t>LXH-EA24-215</t>
  </si>
  <si>
    <t>LXH-EA24-214</t>
  </si>
  <si>
    <t>LXH-EA24-213</t>
  </si>
  <si>
    <t>LXH-EA24-212</t>
  </si>
  <si>
    <t>LXH-EA24-211</t>
  </si>
  <si>
    <t>LXH-EA24-210</t>
  </si>
  <si>
    <t>LXH-EA24-209</t>
  </si>
  <si>
    <t>LXH-EA24-208</t>
  </si>
  <si>
    <t>LXH-EA24-207</t>
  </si>
  <si>
    <t>LXH-EA24-206</t>
  </si>
  <si>
    <t>LXH-EA24-205</t>
  </si>
  <si>
    <t>LXH-EA24-204</t>
  </si>
  <si>
    <t>LXH-EA24-203</t>
  </si>
  <si>
    <t>LXH-EA24-202</t>
  </si>
  <si>
    <t>LXH-EA24-201</t>
  </si>
  <si>
    <t>LXH-EA24-200</t>
  </si>
  <si>
    <t>LXH-EA24-199</t>
  </si>
  <si>
    <t>LXH-EA24-198</t>
  </si>
  <si>
    <t>LXH-EA24-197</t>
  </si>
  <si>
    <t>LXH-EA24-196</t>
  </si>
  <si>
    <t>LXH-EA24-195</t>
  </si>
  <si>
    <t>LXH-EA24-194</t>
  </si>
  <si>
    <t>LXH-EA24-193</t>
  </si>
  <si>
    <t>LXH-EA24-192</t>
  </si>
  <si>
    <t>LXH-EA24-191</t>
  </si>
  <si>
    <t>LXH-EA24-190</t>
  </si>
  <si>
    <t>LXH-EA24-189</t>
  </si>
  <si>
    <t>LXH-EA24-188</t>
  </si>
  <si>
    <t>LXH-EA24-164</t>
  </si>
  <si>
    <t>LXH-EA24-163</t>
  </si>
  <si>
    <t>LXH-EA24-162</t>
  </si>
  <si>
    <t>LXH-EA24-159</t>
  </si>
  <si>
    <t>LXH-EA24-158</t>
  </si>
  <si>
    <t>LXH-EA24-157</t>
  </si>
  <si>
    <t>LXH-EA24-156</t>
  </si>
  <si>
    <t>LXH-EA24-136</t>
  </si>
  <si>
    <t>LXH-EA24-221</t>
  </si>
  <si>
    <t>LXH-EA24-220</t>
  </si>
  <si>
    <t>LXH-EA24-219</t>
  </si>
  <si>
    <t>LXH-EA24-218</t>
  </si>
  <si>
    <t>LXH-EA24-222</t>
  </si>
  <si>
    <t>LXH-EA24-223</t>
  </si>
  <si>
    <t>LXH-EA24-224</t>
  </si>
  <si>
    <t>LXH-EA24-225</t>
  </si>
  <si>
    <t>LXH-EA24-226</t>
  </si>
  <si>
    <t>LXH-EA24-229</t>
  </si>
  <si>
    <t>LXH-EA24-230</t>
  </si>
  <si>
    <t>LXH-EA24-238</t>
  </si>
  <si>
    <t>LXH-EA24-237</t>
  </si>
  <si>
    <t>LXH-EA24-236</t>
  </si>
  <si>
    <t>LXH-EA24-231</t>
  </si>
  <si>
    <t>LXH-EA24-235</t>
  </si>
  <si>
    <t>LXH-EA24-234</t>
  </si>
  <si>
    <t>LXH-EA24-233</t>
  </si>
  <si>
    <t>LXH-EA24-232</t>
  </si>
  <si>
    <t>LXH-EA24-228</t>
  </si>
  <si>
    <t>LXH-EA24-227</t>
  </si>
  <si>
    <t>LXH-EA25-001</t>
  </si>
  <si>
    <t>LXH-EA25-002</t>
  </si>
  <si>
    <t>LXH-EA25-003</t>
  </si>
  <si>
    <t>LXH-EA25-004</t>
  </si>
  <si>
    <t>LXH-EA25-005</t>
  </si>
  <si>
    <t>LXH-EA25-006</t>
  </si>
  <si>
    <t>LXH-EA25-007</t>
  </si>
  <si>
    <t>LXH-EA25-008</t>
  </si>
  <si>
    <t>LXH-EA25-009</t>
  </si>
  <si>
    <t>LXH-EA25-010</t>
  </si>
  <si>
    <t>LXH-EA25-011</t>
  </si>
  <si>
    <t>LXH-EA25-012</t>
  </si>
  <si>
    <t>LXH-EA25-013</t>
  </si>
  <si>
    <t>LXH-EA25-014</t>
  </si>
  <si>
    <t>LXH-EA25-015</t>
  </si>
  <si>
    <t>LXH-EA25-016</t>
  </si>
  <si>
    <t>LXH-EA25-017</t>
  </si>
  <si>
    <t>LXH-EA25-018</t>
  </si>
  <si>
    <t>LXH-EA25-019</t>
  </si>
  <si>
    <t>LXH-EA25-020</t>
  </si>
  <si>
    <t>LXH-EA25-022</t>
  </si>
  <si>
    <t>LXH-EA25-023</t>
  </si>
  <si>
    <t>LXH-EA25-024</t>
  </si>
  <si>
    <t>LXH-EA25-025</t>
  </si>
  <si>
    <t>LXH-EA25-026</t>
  </si>
  <si>
    <t>LXH-EA25-027</t>
  </si>
  <si>
    <t>LXH-EA25-028</t>
  </si>
  <si>
    <t>LXH-EA25-029</t>
  </si>
  <si>
    <t>LXH-EA25-030</t>
  </si>
  <si>
    <t>LXH-EA25-031</t>
  </si>
  <si>
    <t>LXH-EA25-032</t>
  </si>
  <si>
    <t>LXH-EA25-033</t>
  </si>
  <si>
    <t>LXH-EA25-034</t>
  </si>
  <si>
    <t>LXH-EA25-035</t>
  </si>
  <si>
    <t>LXH-EA25-036</t>
  </si>
  <si>
    <t>LXH-EA25-037</t>
  </si>
  <si>
    <t>LXH-EA25-038</t>
  </si>
  <si>
    <t>LXH-EA25-039</t>
  </si>
  <si>
    <t>LXH-EA25-040</t>
  </si>
  <si>
    <t>LXH-EA25-043</t>
  </si>
  <si>
    <t>LXH-EA25-044</t>
  </si>
  <si>
    <t>LXH-EA25-048</t>
  </si>
  <si>
    <t>LXH-EA25-049</t>
  </si>
  <si>
    <t>LXH-EA25-050</t>
  </si>
  <si>
    <t>LXH-EA25-051</t>
  </si>
  <si>
    <t>LXH-EA25-052</t>
  </si>
  <si>
    <t>LXH-EA25-053</t>
  </si>
  <si>
    <t>LXH-EA25-041</t>
  </si>
  <si>
    <t>LXH-EA25-042</t>
  </si>
  <si>
    <t>LXH-EA25-054</t>
  </si>
  <si>
    <t>LXH-EA25-055</t>
  </si>
  <si>
    <t>LXH-EA25-056</t>
  </si>
  <si>
    <t>LXH-EA25-057</t>
  </si>
  <si>
    <t>LXH-EA25-058</t>
  </si>
  <si>
    <t>LXH-EA25-059</t>
  </si>
  <si>
    <t>LXH-EA25-060</t>
  </si>
  <si>
    <t>LXH-EA25-061</t>
  </si>
  <si>
    <t>LXH-EA25-062</t>
  </si>
  <si>
    <t>LXH-EA25-063</t>
  </si>
  <si>
    <t>LXH-EA25-064</t>
  </si>
  <si>
    <t>LXH-EA25-065</t>
  </si>
  <si>
    <t>뷰프레임 F-140</t>
    <phoneticPr fontId="2" type="noConversion"/>
  </si>
  <si>
    <t>뷰프레임 F-140S</t>
    <phoneticPr fontId="2" type="noConversion"/>
  </si>
  <si>
    <t>뷰프레임 F-145</t>
    <phoneticPr fontId="2" type="noConversion"/>
  </si>
  <si>
    <t>뷰프레임 F-145S</t>
    <phoneticPr fontId="2" type="noConversion"/>
  </si>
  <si>
    <t>뷰프레임 F-250</t>
    <phoneticPr fontId="2" type="noConversion"/>
  </si>
  <si>
    <t>뷰프레임 F-250S</t>
    <phoneticPr fontId="2" type="noConversion"/>
  </si>
  <si>
    <t>뷰프레임 F-265</t>
    <phoneticPr fontId="2" type="noConversion"/>
  </si>
  <si>
    <t>뷰프레임 F-265S</t>
    <phoneticPr fontId="2" type="noConversion"/>
  </si>
  <si>
    <t>뷰프레임 F-285</t>
    <phoneticPr fontId="2" type="noConversion"/>
  </si>
  <si>
    <t>뷰프레임 F-230W</t>
    <phoneticPr fontId="2" type="noConversion"/>
  </si>
  <si>
    <t>뷰프레임 F-230WS</t>
    <phoneticPr fontId="2" type="noConversion"/>
  </si>
  <si>
    <t>뷰프레임 F-230WF</t>
    <phoneticPr fontId="2" type="noConversion"/>
  </si>
  <si>
    <t>뷰프레임 F-140GH</t>
    <phoneticPr fontId="2" type="noConversion"/>
  </si>
  <si>
    <t>뷰프레임 F-145GH</t>
    <phoneticPr fontId="2" type="noConversion"/>
  </si>
  <si>
    <t>뷰프레임 F-250GH</t>
    <phoneticPr fontId="2" type="noConversion"/>
  </si>
  <si>
    <t>뷰프레임 F-265GH</t>
    <phoneticPr fontId="2" type="noConversion"/>
  </si>
  <si>
    <t>뷰프레임 F-285GH</t>
    <phoneticPr fontId="2" type="noConversion"/>
  </si>
  <si>
    <t>뷰프레임 F-TD140</t>
    <phoneticPr fontId="2" type="noConversion"/>
  </si>
  <si>
    <t>뷰프레임 F-TD140S</t>
    <phoneticPr fontId="2" type="noConversion"/>
  </si>
  <si>
    <t>뷰프레임 F-130I</t>
    <phoneticPr fontId="2" type="noConversion"/>
  </si>
  <si>
    <t>뷰프레임 F-130IS</t>
    <phoneticPr fontId="2" type="noConversion"/>
  </si>
  <si>
    <t>뷰프레임 F-250I</t>
    <phoneticPr fontId="2" type="noConversion"/>
  </si>
  <si>
    <t>뷰프레임 F-250IS</t>
    <phoneticPr fontId="2" type="noConversion"/>
  </si>
  <si>
    <t>뷰프레임 F-270I</t>
    <phoneticPr fontId="2" type="noConversion"/>
  </si>
  <si>
    <t>뷰프레임 F-270IS</t>
    <phoneticPr fontId="2" type="noConversion"/>
  </si>
  <si>
    <t>뷰프레임 F-TH60</t>
    <phoneticPr fontId="2" type="noConversion"/>
  </si>
  <si>
    <t>뷰프레임 F-TH60S</t>
    <phoneticPr fontId="2" type="noConversion"/>
  </si>
  <si>
    <t>뷰프레임 F-SH60</t>
    <phoneticPr fontId="2" type="noConversion"/>
  </si>
  <si>
    <t>뷰프레임 F-SH60S</t>
    <phoneticPr fontId="2" type="noConversion"/>
  </si>
  <si>
    <t>뷰프레임 F-285S</t>
    <phoneticPr fontId="2" type="noConversion"/>
  </si>
  <si>
    <t>F-130I</t>
    <phoneticPr fontId="2" type="noConversion"/>
  </si>
  <si>
    <t>F-SH60</t>
  </si>
  <si>
    <t>F-TH60</t>
  </si>
  <si>
    <t>저풍압 일반창(5층 이하 주택, 서울/경기 기준 24층 이하 아파트 후면발코니 한정 H최대 1,800)</t>
    <phoneticPr fontId="2" type="noConversion"/>
  </si>
  <si>
    <t>저풍압 일반창</t>
    <phoneticPr fontId="2" type="noConversion"/>
  </si>
  <si>
    <t>여닫이 도어</t>
    <phoneticPr fontId="2" type="noConversion"/>
  </si>
  <si>
    <t>여닫이 창</t>
    <phoneticPr fontId="2" type="noConversion"/>
  </si>
  <si>
    <t>외부복층24mm(5수퍼더블로이 + 14아르곤 + 5일반)</t>
  </si>
  <si>
    <t>외부복층24mm(5일반 + 14아르곤 + 5수퍼로이2)</t>
  </si>
  <si>
    <t>LX완성창</t>
    <phoneticPr fontId="2" type="noConversion"/>
  </si>
  <si>
    <t>대리점제작창</t>
    <phoneticPr fontId="2" type="noConversion"/>
  </si>
  <si>
    <t>브랜드명</t>
    <phoneticPr fontId="2" type="noConversion"/>
  </si>
  <si>
    <t>모델명</t>
    <phoneticPr fontId="2" type="noConversion"/>
  </si>
  <si>
    <t>성적서번호</t>
    <phoneticPr fontId="2" type="noConversion"/>
  </si>
  <si>
    <t>일반유리, 단열간봉</t>
    <phoneticPr fontId="2" type="noConversion"/>
  </si>
  <si>
    <t>유리난간</t>
    <phoneticPr fontId="2" type="noConversion"/>
  </si>
  <si>
    <t>외부유리</t>
    <phoneticPr fontId="2" type="noConversion"/>
  </si>
  <si>
    <t>내부유리</t>
    <phoneticPr fontId="2" type="noConversion"/>
  </si>
  <si>
    <t>외픽스유리</t>
    <phoneticPr fontId="2" type="noConversion"/>
  </si>
  <si>
    <t>외벤트유리</t>
    <phoneticPr fontId="2" type="noConversion"/>
  </si>
  <si>
    <t>F-TH60S</t>
    <phoneticPr fontId="2" type="noConversion"/>
  </si>
  <si>
    <t>F-SH60S</t>
    <phoneticPr fontId="2" type="noConversion"/>
  </si>
  <si>
    <t>F-TD140S</t>
    <phoneticPr fontId="2" type="noConversion"/>
  </si>
  <si>
    <t>LX ZIN 창호 뷰프레임 대리점제작창 카탈로그(25.03)</t>
  </si>
  <si>
    <t>LX ZIN 창호 뷰프레임 대리점제작창 카탈로그(25.03)</t>
    <phoneticPr fontId="2" type="noConversion"/>
  </si>
  <si>
    <t>LX ZIN 창호 뷰프레임 LX완성창 카탈로그(25.02)</t>
  </si>
  <si>
    <t>LX ZIN 창호 뷰프레임 LX완성창 카탈로그(25.02)</t>
    <phoneticPr fontId="2" type="noConversion"/>
  </si>
  <si>
    <t>SECTION 파일</t>
  </si>
  <si>
    <t>SECTION 파일</t>
    <phoneticPr fontId="2" type="noConversion"/>
  </si>
  <si>
    <t>F-250IS-466GGGG2A5</t>
  </si>
  <si>
    <t>F-270IS-466GGGG2A5</t>
  </si>
  <si>
    <t>F-TH60-224FFKG1R5</t>
  </si>
  <si>
    <t>F-TH60S</t>
  </si>
  <si>
    <t>F-TH60S-224FFKG1R5</t>
  </si>
  <si>
    <t>F-TD140-224FFGS1R5-1</t>
  </si>
  <si>
    <t>F-TD140S</t>
  </si>
  <si>
    <t>F-TD140S-224FFGS1R5</t>
  </si>
  <si>
    <t>LXH-EA25-071</t>
  </si>
  <si>
    <t>LXH-EA25-076</t>
  </si>
  <si>
    <t>LXH-EA25-075</t>
  </si>
  <si>
    <t>LXH-EA25-072</t>
  </si>
  <si>
    <t>LXH-EA25-073</t>
  </si>
  <si>
    <t>LXH-EA25-074</t>
  </si>
  <si>
    <t>F-245</t>
  </si>
  <si>
    <t>F-245-422GGGG2A5</t>
  </si>
  <si>
    <t>F-245-422GGGL2A5</t>
  </si>
  <si>
    <t>F-245S</t>
  </si>
  <si>
    <t>F-245S-422GGGG2A5</t>
  </si>
  <si>
    <t>F-245S-422GGGL2A5</t>
  </si>
  <si>
    <t>LGH-TW18-088</t>
  </si>
  <si>
    <t>LGH-TW18-089</t>
  </si>
  <si>
    <t>외부복층26mm(5일반+16공기+5일반)</t>
    <phoneticPr fontId="2" type="noConversion"/>
  </si>
  <si>
    <t>내부복층26mm(5일반+16공기+5일반)</t>
    <phoneticPr fontId="2" type="noConversion"/>
  </si>
  <si>
    <t>외부복층22mm(5일반+12공기+5일반)</t>
    <phoneticPr fontId="2" type="noConversion"/>
  </si>
  <si>
    <t>내부복층22mm(5일반+12공기+5일반)</t>
    <phoneticPr fontId="2" type="noConversion"/>
  </si>
  <si>
    <t>내부복층22mm(5일반+12공기+5로이)</t>
    <phoneticPr fontId="2" type="noConversion"/>
  </si>
  <si>
    <t>일반유리, AL간봉</t>
    <phoneticPr fontId="2" type="noConversion"/>
  </si>
  <si>
    <t>3등급</t>
    <phoneticPr fontId="2" type="noConversion"/>
  </si>
  <si>
    <t>F-250I-466NGGG2A5</t>
  </si>
  <si>
    <t>F-250I-444NGGG2A5</t>
  </si>
  <si>
    <t>F-270I-466NGGG2A5</t>
  </si>
  <si>
    <t>F-140-224FFNG1R5</t>
  </si>
  <si>
    <t>F-270I-444NGGG2A5</t>
  </si>
  <si>
    <t>F-140-226FFNG1R5</t>
  </si>
  <si>
    <t>LXH-EA25-082</t>
  </si>
  <si>
    <t>LXH-EA25-081</t>
  </si>
  <si>
    <t>LXH-EA25-080</t>
  </si>
  <si>
    <t>LXH-EA25-079</t>
  </si>
  <si>
    <t>LXH-EA25-078</t>
  </si>
  <si>
    <t>LXH-EA25-077</t>
  </si>
  <si>
    <t>외부복층24mm(5수퍼더블로이(투명)+14아르곤+5일반)</t>
  </si>
  <si>
    <t>외부복층26mm(5수퍼더블로이(투명)+16아르곤+5일반)</t>
  </si>
  <si>
    <t>외부복층26mm(5수퍼더블로이(투명)+16공기+5일반)</t>
    <phoneticPr fontId="2" type="noConversion"/>
  </si>
  <si>
    <t>외부복층24mm(5수퍼더블로이(투명)+14공기+5일반)</t>
    <phoneticPr fontId="2" type="noConversion"/>
  </si>
  <si>
    <t>내부복층24mm(5일반+14공기+5일반)</t>
    <phoneticPr fontId="2" type="noConversion"/>
  </si>
  <si>
    <t>F-145-224FFNG1R5</t>
  </si>
  <si>
    <t>F-230W-224FFNG1R5</t>
  </si>
  <si>
    <t>F-250-444NGGG1R5</t>
  </si>
  <si>
    <t>F-230W-226FFNG1R5</t>
  </si>
  <si>
    <t>F-285-444NGGG2A5</t>
  </si>
  <si>
    <t>F-265-466NGGG2A5</t>
  </si>
  <si>
    <t>F-285-466NGGG2A5</t>
  </si>
  <si>
    <t>F-230WF-224FFNG1A5</t>
  </si>
  <si>
    <t>F-230WF-226FFNG1A5</t>
  </si>
  <si>
    <t>F-230WF-228FFNG1R5</t>
  </si>
  <si>
    <t>F-130I-224FFNG1R5</t>
  </si>
  <si>
    <t>F-230WF-224FFNG1R5</t>
  </si>
  <si>
    <t>F-145-226FFNG1R5</t>
  </si>
  <si>
    <t>F-230WF-226FFNG1R5</t>
  </si>
  <si>
    <t>F-265-444NGGG2A5</t>
  </si>
  <si>
    <t>F-230WF-228FFNG1A5</t>
  </si>
  <si>
    <t>F-130I-226FFNG1R5</t>
  </si>
  <si>
    <t>LXH-EA25-094</t>
  </si>
  <si>
    <t>LXH-EA25-095</t>
  </si>
  <si>
    <t>LXH-EA25-096</t>
  </si>
  <si>
    <t>LXH-EA25-097</t>
  </si>
  <si>
    <t>LXH-EA25-098</t>
  </si>
  <si>
    <t>LXH-EA25-099</t>
  </si>
  <si>
    <t>LXH-EA25-100</t>
  </si>
  <si>
    <t>LXH-EA25-101</t>
  </si>
  <si>
    <t>LXH-EA25-102</t>
  </si>
  <si>
    <t>LXH-EA25-103</t>
  </si>
  <si>
    <t>LXH-EA25-104</t>
  </si>
  <si>
    <t>LXH-EA25-105</t>
  </si>
  <si>
    <t>LXH-EA25-106</t>
  </si>
  <si>
    <t>LXH-EA25-107</t>
  </si>
  <si>
    <t>LXH-EA25-108</t>
  </si>
  <si>
    <t>LXH-EA25-109</t>
  </si>
  <si>
    <t>LXH-EA25-110</t>
  </si>
  <si>
    <t>외부복층24mm(5수퍼더블로이(투명)+14공기+5일반)</t>
  </si>
  <si>
    <t>외부복층26mm(5수퍼더블로이(투명)+16공기+5일반)</t>
  </si>
  <si>
    <t>외부복층28mm(5수퍼더블로이(투명)+18아르곤+5일반)</t>
  </si>
  <si>
    <t>외부복층28mm(5수퍼더블로이(투명)+18공기+5일반)</t>
  </si>
  <si>
    <t>외부복층24mm(5수퍼더블로이(투명)+14아르곤+5일반)</t>
    <phoneticPr fontId="2" type="noConversion"/>
  </si>
  <si>
    <t>4등급</t>
  </si>
  <si>
    <t>F-250-466NGGG1R5</t>
  </si>
  <si>
    <t>F-250-466NGGG2A5</t>
  </si>
  <si>
    <t>LXH-EA25-090</t>
  </si>
  <si>
    <t>외부복층26mm(5수퍼더블로이(투명)+16아르곤+5일반)</t>
    <phoneticPr fontId="2" type="noConversion"/>
  </si>
  <si>
    <t>내부복층26mm(5일반+16공기+5일반)</t>
    <phoneticPr fontId="2" type="noConversion"/>
  </si>
  <si>
    <t>외부복층26mm(5수퍼더블로이(투명)+16공기+5일반)</t>
    <phoneticPr fontId="2" type="noConversion"/>
  </si>
  <si>
    <t>1등급</t>
    <phoneticPr fontId="2" type="noConversion"/>
  </si>
  <si>
    <t>LXH-EA25-125</t>
  </si>
  <si>
    <t>F-250I-444NGGG1R5</t>
  </si>
  <si>
    <t>LXH-EA25-124</t>
  </si>
  <si>
    <t>F-140-226FFNG1A5</t>
  </si>
  <si>
    <t>LXH-EA25-123</t>
  </si>
  <si>
    <t>F-140-224FFNG1A5</t>
  </si>
  <si>
    <t>LXH-EA25-122</t>
  </si>
  <si>
    <t>F-270I-466NGGG1R5</t>
  </si>
  <si>
    <t>LXH-EA25-121</t>
  </si>
  <si>
    <t>F-250-488NGGG1R5</t>
  </si>
  <si>
    <t>LXH-EA25-120</t>
  </si>
  <si>
    <t>F-250I-466NGGG1R5</t>
  </si>
  <si>
    <t>LXH-EA25-119</t>
  </si>
  <si>
    <t>F-140-228FFNG1R5</t>
  </si>
  <si>
    <t>LXH-EA25-118</t>
  </si>
  <si>
    <t>F-140-228FFNG1A5</t>
  </si>
  <si>
    <t>LXH-EA25-117</t>
  </si>
  <si>
    <t>F-270I-444NGGG1R5</t>
  </si>
  <si>
    <t>LXH-EA25-116</t>
  </si>
  <si>
    <t>F-250-488NGGG2A5</t>
  </si>
  <si>
    <t>LXH-EA25-114</t>
  </si>
  <si>
    <t>F-130I-228FFNG1R5</t>
  </si>
  <si>
    <t>LXH-EA25-113</t>
  </si>
  <si>
    <t>F-130I-228FFNG1A5</t>
  </si>
  <si>
    <t>LXH-EA25-112</t>
  </si>
  <si>
    <t>F-130I-226FFNG1A5</t>
  </si>
  <si>
    <t>LXH-EA25-111</t>
  </si>
  <si>
    <t>F-130I-224FFNG1A5</t>
  </si>
  <si>
    <t>LXH-EA25-131</t>
  </si>
  <si>
    <t>F-250IS-466GGGL2A5-2</t>
  </si>
  <si>
    <t>LXH-EA25-130</t>
  </si>
  <si>
    <t>F-250IS-444GGGL1R5-2</t>
  </si>
  <si>
    <t>LXH-EA25-129</t>
  </si>
  <si>
    <t>F-250I-488NGGG1R5</t>
  </si>
  <si>
    <t>LXH-EA25-128</t>
  </si>
  <si>
    <t>F-270I-488NGGG2A5</t>
  </si>
  <si>
    <t>LXH-EA25-127</t>
  </si>
  <si>
    <t>F-270I-488NGGG1R5</t>
  </si>
  <si>
    <t>LXH-EA25-126</t>
  </si>
  <si>
    <t>F-250I-488NGGG2A5</t>
  </si>
  <si>
    <t>외부복층28mm(5수퍼더블로이(투명)+18아르곤+5일반)</t>
    <phoneticPr fontId="2" type="noConversion"/>
  </si>
  <si>
    <t>내부복층28mm(5일반+18공기+5일반)</t>
    <phoneticPr fontId="2" type="noConversion"/>
  </si>
  <si>
    <t>외부복층28mm(5수퍼더블로이(투명)+18공기+5일반)</t>
    <phoneticPr fontId="2" type="noConversion"/>
  </si>
  <si>
    <t>내부복층26mm((5일반+16공기+5듀라맥스)</t>
    <phoneticPr fontId="2" type="noConversion"/>
  </si>
  <si>
    <t>외부복층24mm(5일반+14공기+5일반)</t>
    <phoneticPr fontId="2" type="noConversion"/>
  </si>
  <si>
    <t>내부복층24mm(5일반+14아르곤+5듀라맥스)</t>
    <phoneticPr fontId="2" type="noConversion"/>
  </si>
  <si>
    <t>외부복층28mm(5수퍼더블로이(투명)18공기+5일반)</t>
    <phoneticPr fontId="2" type="noConversion"/>
  </si>
  <si>
    <t>LXH-EA25-136</t>
  </si>
  <si>
    <t>LXH-EA25-135</t>
  </si>
  <si>
    <t>LXH-EA25-134</t>
  </si>
  <si>
    <t>LXH-EA25-133</t>
  </si>
  <si>
    <t>LXH-EA26-001</t>
  </si>
  <si>
    <t>LXH-EA26-002</t>
  </si>
  <si>
    <t>LXH-EA26-003</t>
  </si>
  <si>
    <t>LXH-EA26-004</t>
  </si>
  <si>
    <t>LXH-EA26-005</t>
  </si>
  <si>
    <t>LXH-EA26-006</t>
  </si>
  <si>
    <t>LXH-EA26-007</t>
  </si>
  <si>
    <t>LXH-EA26-008</t>
  </si>
  <si>
    <t>LXH-EA26-009</t>
  </si>
  <si>
    <t>LXH-EA26-010</t>
  </si>
  <si>
    <t>LXH-EA26-011</t>
  </si>
  <si>
    <t>LXH-EA26-012</t>
  </si>
  <si>
    <t>F-145-228FFNG1R5</t>
  </si>
  <si>
    <t>F-145-226FFNG1A5</t>
  </si>
  <si>
    <t>F-145-224FFNG1A5</t>
  </si>
  <si>
    <t>F-145-228FFNG1A5</t>
  </si>
  <si>
    <t>F-285-488NGGG1R5</t>
  </si>
  <si>
    <t>F-265-444NGGG1R5</t>
  </si>
  <si>
    <t>F-285-466NGGG1R5</t>
  </si>
  <si>
    <t>F-285-488NGGG2A5</t>
  </si>
  <si>
    <t>F-265-488NGGG2A5</t>
  </si>
  <si>
    <t>F-265-488NGGG1R5</t>
  </si>
  <si>
    <t>F-265-466NGGG1R5</t>
  </si>
  <si>
    <t>F-285-444NGGG1R5</t>
  </si>
  <si>
    <t>F-230W-228FFNG1A5</t>
  </si>
  <si>
    <t>F-230W-224FFNG1A5</t>
  </si>
  <si>
    <t>F-230W-228FFNG1R5</t>
  </si>
  <si>
    <t>F-230W-226FFNG1A5</t>
  </si>
  <si>
    <t>외부복층28mm(5수퍼더블로이(투명)+18아르곤5일반)</t>
  </si>
  <si>
    <t>일반유리, 단열간봉</t>
  </si>
  <si>
    <t>F-145-228FFNG1R5</t>
    <phoneticPr fontId="2" type="noConversion"/>
  </si>
  <si>
    <t>F-145-226FFNG1A5</t>
    <phoneticPr fontId="2" type="noConversion"/>
  </si>
  <si>
    <t>F-265-466KGKG2A5</t>
  </si>
  <si>
    <t>LGH-TW17-005</t>
  </si>
  <si>
    <t>F-235IS</t>
  </si>
  <si>
    <t>F-235IS-444GGGG2A5</t>
  </si>
  <si>
    <t>F-235IS-444GGGE2A5</t>
  </si>
  <si>
    <t>F-235IS-422GGGG2A5</t>
  </si>
  <si>
    <t>F-235IS-422GGGE2A5</t>
  </si>
  <si>
    <t>F-235IS-422GGGE1R5</t>
  </si>
  <si>
    <t>F-235IS-422GLGL2A5</t>
  </si>
  <si>
    <t>F-235I</t>
  </si>
  <si>
    <t>F-235I-422GSGS2A5</t>
  </si>
  <si>
    <t>F-235I-444GGGS2A5</t>
  </si>
  <si>
    <t>F-235I-444GSGS2A5</t>
  </si>
  <si>
    <t>LXH-EA26-018</t>
  </si>
  <si>
    <t>F-230WS-226FFGS1R5-1</t>
  </si>
  <si>
    <t>LXH-EA26-019</t>
  </si>
  <si>
    <t>F-230WS-224FFGS1R5-1</t>
  </si>
  <si>
    <t>LXH-EA26-020</t>
  </si>
  <si>
    <t>F-230WS-224FFGS1A5-1</t>
  </si>
  <si>
    <t>LXH-EA26-021</t>
  </si>
  <si>
    <t>F-230WS-226FFGS1A5-1</t>
  </si>
  <si>
    <t>LXH-EA26-023</t>
  </si>
  <si>
    <t>F-131R</t>
  </si>
  <si>
    <t>F-131R-222FFGL1R5</t>
  </si>
  <si>
    <t>외부복층22mm(5일반+12아르곤+5로이)</t>
  </si>
  <si>
    <t>F-246R</t>
  </si>
  <si>
    <t>F-246R-422GGGL2A5</t>
  </si>
  <si>
    <t>LXH-EA26-013</t>
    <phoneticPr fontId="2" type="noConversion"/>
  </si>
  <si>
    <t>외부복층26mm(5수퍼더블로이+16공기+5일반)</t>
    <phoneticPr fontId="2" type="noConversion"/>
  </si>
  <si>
    <t>내부복층26mm(5수퍼더블로이+16공기+5일반)</t>
    <phoneticPr fontId="2" type="noConversion"/>
  </si>
  <si>
    <t>내부복층24mm(5일반+14공기+5로이)</t>
    <phoneticPr fontId="2" type="noConversion"/>
  </si>
  <si>
    <t>내부복층22mm(5일반+12아르곤+5로이)</t>
    <phoneticPr fontId="2" type="noConversion"/>
  </si>
  <si>
    <t>외부복층22mm(5일반+12공기+5로이)</t>
    <phoneticPr fontId="2" type="noConversion"/>
  </si>
  <si>
    <t>외부복층22mm(5일반+12공기+5수퍼로이)</t>
    <phoneticPr fontId="2" type="noConversion"/>
  </si>
  <si>
    <t>내부복층22mm(5일반+12공기+5수퍼로이)</t>
    <phoneticPr fontId="2" type="noConversion"/>
  </si>
  <si>
    <t>내부복층24mm(5일반+14공기+5수퍼로이)</t>
    <phoneticPr fontId="2" type="noConversion"/>
  </si>
  <si>
    <t>외부복층24mm(5일반+14공기+5수퍼로이)</t>
    <phoneticPr fontId="2" type="noConversion"/>
  </si>
  <si>
    <t>LGH-TW17-001</t>
    <phoneticPr fontId="2" type="noConversion"/>
  </si>
  <si>
    <t>LGH-TW17-002</t>
    <phoneticPr fontId="2" type="noConversion"/>
  </si>
  <si>
    <t>LGH-TW17-003</t>
    <phoneticPr fontId="2" type="noConversion"/>
  </si>
  <si>
    <t>LGH-TW21-044</t>
    <phoneticPr fontId="2" type="noConversion"/>
  </si>
  <si>
    <t>LGH-TW17-004</t>
    <phoneticPr fontId="2" type="noConversion"/>
  </si>
  <si>
    <t>LGH-TW19-045</t>
    <phoneticPr fontId="2" type="noConversion"/>
  </si>
  <si>
    <t>LGH-TW19-046</t>
    <phoneticPr fontId="2" type="noConversion"/>
  </si>
  <si>
    <t>LGH-TW19-067</t>
    <phoneticPr fontId="2" type="noConversion"/>
  </si>
  <si>
    <t>LXH-EA26-022</t>
    <phoneticPr fontId="2" type="noConversion"/>
  </si>
  <si>
    <t>F-230W-224FFGG1A5</t>
  </si>
  <si>
    <t>F-230W-226FFGG1A5</t>
  </si>
  <si>
    <t>F-230WF-228FFGG1A5</t>
  </si>
  <si>
    <t>F-230WF-224FFGG1A5</t>
  </si>
  <si>
    <t>F-230WF-226FFGG1A5</t>
  </si>
  <si>
    <t>F-230W-228FFGG1A5</t>
  </si>
  <si>
    <t>LXH-EA26-026</t>
  </si>
  <si>
    <t>LXH-EA26-027</t>
  </si>
  <si>
    <t>LXH-EA26-028</t>
  </si>
  <si>
    <t>LXH-EA26-029</t>
  </si>
  <si>
    <t>LXH-EA26-030</t>
  </si>
  <si>
    <t>LXH-EA26-014</t>
    <phoneticPr fontId="2" type="noConversion"/>
  </si>
  <si>
    <t>LXH-EA26-031</t>
    <phoneticPr fontId="2" type="noConversion"/>
  </si>
  <si>
    <t>LXH-EA26-032</t>
  </si>
  <si>
    <t>LXH-EA26-033</t>
  </si>
  <si>
    <t>LXH-EA26-034</t>
  </si>
  <si>
    <t>F-230WS-226FFGG1A5</t>
  </si>
  <si>
    <t>F-230WS-222FFGG1A5</t>
  </si>
  <si>
    <t>F-230WS-224FFGG1A5</t>
  </si>
  <si>
    <t>외부복층22mm(5일반+12공기+5일반)</t>
  </si>
  <si>
    <t>F-230WS-226FFGG1A5</t>
    <phoneticPr fontId="2" type="noConversion"/>
  </si>
  <si>
    <t>F-230WS-222FFGG1A5</t>
    <phoneticPr fontId="2" type="noConversion"/>
  </si>
  <si>
    <t>F-230WS-224FFGG1A5</t>
    <phoneticPr fontId="2" type="noConversion"/>
  </si>
  <si>
    <t>등급(클릭_다운로드)</t>
    <phoneticPr fontId="2" type="noConversion"/>
  </si>
  <si>
    <t>F-250D</t>
    <phoneticPr fontId="2" type="noConversion"/>
  </si>
  <si>
    <t>F-140D</t>
    <phoneticPr fontId="2" type="noConversion"/>
  </si>
  <si>
    <t>F-250D-466NGGS2R5</t>
  </si>
  <si>
    <t>F-250D-466NGGS2R5</t>
    <phoneticPr fontId="2" type="noConversion"/>
  </si>
  <si>
    <t>F-250D-466KGGS2R5</t>
  </si>
  <si>
    <t>F-250D-466KGGS2R5</t>
    <phoneticPr fontId="2" type="noConversion"/>
  </si>
  <si>
    <t>F-140D-226FFKG1R5</t>
  </si>
  <si>
    <t>F-140D-226FFKG1R5</t>
    <phoneticPr fontId="2" type="noConversion"/>
  </si>
  <si>
    <t>F-250D-466KGGG1R5</t>
  </si>
  <si>
    <t>F-250D-466KGGG1R5</t>
    <phoneticPr fontId="2" type="noConversion"/>
  </si>
  <si>
    <t>F-250D-466NGGG1R5</t>
  </si>
  <si>
    <t>F-250D-466NGGG1R5</t>
    <phoneticPr fontId="2" type="noConversion"/>
  </si>
  <si>
    <t>F-140D-226FFNG1R5</t>
  </si>
  <si>
    <t>F-140D-226FFNG1R5</t>
    <phoneticPr fontId="2" type="noConversion"/>
  </si>
  <si>
    <t>LXH-EA26-038</t>
    <phoneticPr fontId="2" type="noConversion"/>
  </si>
  <si>
    <t>LXH-EA26-039</t>
    <phoneticPr fontId="2" type="noConversion"/>
  </si>
  <si>
    <t>LXH-EA26-040</t>
    <phoneticPr fontId="2" type="noConversion"/>
  </si>
  <si>
    <t>LXH-EA26-041</t>
    <phoneticPr fontId="2" type="noConversion"/>
  </si>
  <si>
    <t>LXH-EA26-042</t>
    <phoneticPr fontId="2" type="noConversion"/>
  </si>
  <si>
    <t>LXH-EA26-043</t>
    <phoneticPr fontId="2" type="noConversion"/>
  </si>
  <si>
    <t>외부복층 26mm(5수퍼더블로이+16아르곤+5일반)</t>
  </si>
  <si>
    <t>외부복층 26mm(5수퍼더블로이(투명)+16아르곤+5일반)</t>
  </si>
  <si>
    <t>외부복층 26mm(5수퍼더블로이(투명)+16아르곤+5일반)</t>
    <phoneticPr fontId="2" type="noConversion"/>
  </si>
  <si>
    <t>내부복층 26mm(5일반+16아르곤+5수퍼로이2)</t>
    <phoneticPr fontId="2" type="noConversion"/>
  </si>
  <si>
    <t>외부복층 26mm(5수퍼더블로이+16아르곤+5일반)</t>
    <phoneticPr fontId="2" type="noConversion"/>
  </si>
  <si>
    <t>내부복층 26mm(5일반+16공기+5일반)</t>
  </si>
  <si>
    <t>내부복층 26mm(5일반+16공기+5일반)</t>
    <phoneticPr fontId="2" type="noConversion"/>
  </si>
  <si>
    <t xml:space="preserve">2026.07.23 </t>
    <phoneticPr fontId="2" type="noConversion"/>
  </si>
  <si>
    <t xml:space="preserve">2026.07.23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</si>
</sst>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18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vertAlign val="superscript"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scheme val="minor"/>
    </font>
    <font>
      <sz val="11"/>
      <color rgb="FFFF6565"/>
      <name val="맑은 고딕"/>
      <family val="2"/>
      <scheme val="minor"/>
    </font>
    <font>
      <sz val="14"/>
      <color rgb="FF000000"/>
      <name val="Malgun Gothic"/>
      <family val="3"/>
    </font>
    <font>
      <u/>
      <sz val="11"/>
      <color theme="10"/>
      <name val="맑은 고딕"/>
      <family val="2"/>
      <scheme val="minor"/>
    </font>
    <font>
      <sz val="11"/>
      <color theme="0"/>
      <name val="맑은 고딕"/>
      <family val="2"/>
      <scheme val="minor"/>
    </font>
    <font>
      <sz val="11"/>
      <color rgb="FFFF0000"/>
      <name val="맑은 고딕"/>
      <family val="2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9"/>
      <name val="LG스마트체 Regular"/>
      <family val="3"/>
      <charset val="129"/>
    </font>
    <font>
      <sz val="9"/>
      <color theme="1"/>
      <name val="LG스마트체 Regular"/>
      <family val="3"/>
      <charset val="129"/>
    </font>
    <font>
      <sz val="11"/>
      <color theme="1"/>
      <name val="맑은 고딕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A528"/>
      </patternFill>
    </fill>
    <fill>
      <patternFill patternType="solid">
        <fgColor rgb="FFFCD8A6"/>
      </patternFill>
    </fill>
    <fill>
      <patternFill patternType="solid">
        <fgColor rgb="FFFFC512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41" fontId="17" fillId="0" borderId="0" applyFont="0" applyFill="0" applyBorder="0" applyAlignment="0" applyProtection="0">
      <alignment vertical="center"/>
    </xf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/>
    </xf>
    <xf numFmtId="0" fontId="3" fillId="0" borderId="0" xfId="0" applyFont="1"/>
    <xf numFmtId="0" fontId="5" fillId="0" borderId="0" xfId="0" applyFont="1"/>
    <xf numFmtId="0" fontId="0" fillId="0" borderId="2" xfId="0" applyBorder="1"/>
    <xf numFmtId="0" fontId="6" fillId="0" borderId="0" xfId="0" applyFont="1"/>
    <xf numFmtId="0" fontId="7" fillId="0" borderId="0" xfId="0" applyFont="1"/>
    <xf numFmtId="0" fontId="8" fillId="0" borderId="2" xfId="0" applyFont="1" applyBorder="1"/>
    <xf numFmtId="0" fontId="0" fillId="6" borderId="0" xfId="0" applyFill="1" applyAlignment="1">
      <alignment horizontal="center" vertical="center"/>
    </xf>
    <xf numFmtId="0" fontId="0" fillId="6" borderId="0" xfId="0" applyFill="1"/>
    <xf numFmtId="0" fontId="9" fillId="0" borderId="0" xfId="1" applyAlignment="1">
      <alignment horizontal="center" vertical="center"/>
    </xf>
    <xf numFmtId="0" fontId="0" fillId="0" borderId="0" xfId="0" applyAlignment="1"/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5" fillId="7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top"/>
    </xf>
    <xf numFmtId="0" fontId="15" fillId="8" borderId="1" xfId="0" applyFont="1" applyFill="1" applyBorder="1" applyAlignment="1">
      <alignment horizontal="center" vertical="center"/>
    </xf>
    <xf numFmtId="0" fontId="9" fillId="0" borderId="0" xfId="1" applyFill="1" applyAlignment="1">
      <alignment horizontal="center"/>
    </xf>
    <xf numFmtId="0" fontId="0" fillId="0" borderId="0" xfId="0" applyFill="1" applyAlignment="1">
      <alignment horizontal="center"/>
    </xf>
    <xf numFmtId="0" fontId="15" fillId="7" borderId="1" xfId="0" applyFont="1" applyFill="1" applyBorder="1" applyAlignment="1">
      <alignment horizontal="left" vertical="top"/>
    </xf>
    <xf numFmtId="0" fontId="16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16" fillId="0" borderId="1" xfId="0" applyFont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horizontal="left"/>
    </xf>
    <xf numFmtId="176" fontId="16" fillId="0" borderId="1" xfId="2" applyNumberFormat="1" applyFont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/>
    <xf numFmtId="0" fontId="16" fillId="0" borderId="1" xfId="0" applyFont="1" applyFill="1" applyBorder="1" applyAlignment="1">
      <alignment horizontal="left"/>
    </xf>
    <xf numFmtId="176" fontId="16" fillId="0" borderId="1" xfId="2" applyNumberFormat="1" applyFont="1" applyFill="1" applyBorder="1" applyAlignment="1">
      <alignment horizontal="center"/>
    </xf>
    <xf numFmtId="0" fontId="16" fillId="0" borderId="1" xfId="0" applyFont="1" applyBorder="1" applyAlignment="1">
      <alignment wrapText="1"/>
    </xf>
    <xf numFmtId="0" fontId="16" fillId="0" borderId="0" xfId="0" applyFont="1" applyFill="1"/>
    <xf numFmtId="0" fontId="16" fillId="6" borderId="1" xfId="0" applyFont="1" applyFill="1" applyBorder="1" applyAlignment="1">
      <alignment horizontal="center"/>
    </xf>
    <xf numFmtId="0" fontId="16" fillId="6" borderId="1" xfId="0" applyFont="1" applyFill="1" applyBorder="1"/>
    <xf numFmtId="0" fontId="16" fillId="6" borderId="1" xfId="0" applyFont="1" applyFill="1" applyBorder="1" applyAlignment="1">
      <alignment horizontal="left"/>
    </xf>
    <xf numFmtId="176" fontId="16" fillId="6" borderId="1" xfId="2" applyNumberFormat="1" applyFont="1" applyFill="1" applyBorder="1" applyAlignment="1">
      <alignment horizontal="center"/>
    </xf>
    <xf numFmtId="0" fontId="16" fillId="6" borderId="0" xfId="0" applyFont="1" applyFill="1"/>
    <xf numFmtId="0" fontId="15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wrapText="1"/>
    </xf>
  </cellXfs>
  <cellStyles count="3">
    <cellStyle name="쉼표 [0]" xfId="2" builtinId="6"/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239695</xdr:colOff>
      <xdr:row>21</xdr:row>
      <xdr:rowOff>46054</xdr:rowOff>
    </xdr:from>
    <xdr:ext cx="5441225" cy="1016350"/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859" t="31897" r="28245" b="50385"/>
        <a:stretch/>
      </xdr:blipFill>
      <xdr:spPr>
        <a:xfrm>
          <a:off x="801670" y="4446604"/>
          <a:ext cx="5441225" cy="1016350"/>
        </a:xfrm>
        <a:prstGeom prst="rect">
          <a:avLst/>
        </a:prstGeom>
      </xdr:spPr>
    </xdr:pic>
    <xdr:clientData/>
  </xdr:oneCellAnchor>
  <xdr:oneCellAnchor>
    <xdr:from>
      <xdr:col>1</xdr:col>
      <xdr:colOff>188770</xdr:colOff>
      <xdr:row>28</xdr:row>
      <xdr:rowOff>20781</xdr:rowOff>
    </xdr:from>
    <xdr:ext cx="4338407" cy="1247174"/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344" t="40007" r="30042" b="34166"/>
        <a:stretch/>
      </xdr:blipFill>
      <xdr:spPr>
        <a:xfrm>
          <a:off x="750745" y="5888181"/>
          <a:ext cx="4338407" cy="1247174"/>
        </a:xfrm>
        <a:prstGeom prst="rect">
          <a:avLst/>
        </a:prstGeom>
      </xdr:spPr>
    </xdr:pic>
    <xdr:clientData/>
  </xdr:oneCellAnchor>
  <xdr:oneCellAnchor>
    <xdr:from>
      <xdr:col>1</xdr:col>
      <xdr:colOff>226002</xdr:colOff>
      <xdr:row>54</xdr:row>
      <xdr:rowOff>152400</xdr:rowOff>
    </xdr:from>
    <xdr:ext cx="2903253" cy="2957860"/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8704" t="34973" r="15279" b="17491"/>
        <a:stretch/>
      </xdr:blipFill>
      <xdr:spPr>
        <a:xfrm>
          <a:off x="787977" y="11468100"/>
          <a:ext cx="2903253" cy="2957860"/>
        </a:xfrm>
        <a:prstGeom prst="rect">
          <a:avLst/>
        </a:prstGeom>
      </xdr:spPr>
    </xdr:pic>
    <xdr:clientData/>
  </xdr:oneCellAnchor>
  <xdr:oneCellAnchor>
    <xdr:from>
      <xdr:col>4</xdr:col>
      <xdr:colOff>1908466</xdr:colOff>
      <xdr:row>54</xdr:row>
      <xdr:rowOff>161925</xdr:rowOff>
    </xdr:from>
    <xdr:ext cx="3747709" cy="2970068"/>
    <xdr:pic>
      <xdr:nvPicPr>
        <xdr:cNvPr id="6" name="그림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2918" t="34803" r="43175" b="17491"/>
        <a:stretch/>
      </xdr:blipFill>
      <xdr:spPr>
        <a:xfrm>
          <a:off x="3241966" y="11477625"/>
          <a:ext cx="3747709" cy="2970068"/>
        </a:xfrm>
        <a:prstGeom prst="rect">
          <a:avLst/>
        </a:prstGeom>
      </xdr:spPr>
    </xdr:pic>
    <xdr:clientData/>
  </xdr:oneCellAnchor>
  <xdr:oneCellAnchor>
    <xdr:from>
      <xdr:col>12</xdr:col>
      <xdr:colOff>387927</xdr:colOff>
      <xdr:row>8</xdr:row>
      <xdr:rowOff>8137</xdr:rowOff>
    </xdr:from>
    <xdr:ext cx="1155123" cy="199333"/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2658" t="4167" r="72857" b="91400"/>
        <a:stretch/>
      </xdr:blipFill>
      <xdr:spPr>
        <a:xfrm>
          <a:off x="7998402" y="1684537"/>
          <a:ext cx="1155123" cy="199333"/>
        </a:xfrm>
        <a:prstGeom prst="rect">
          <a:avLst/>
        </a:prstGeom>
      </xdr:spPr>
    </xdr:pic>
    <xdr:clientData/>
  </xdr:oneCellAnchor>
  <xdr:twoCellAnchor>
    <xdr:from>
      <xdr:col>12</xdr:col>
      <xdr:colOff>613079</xdr:colOff>
      <xdr:row>36</xdr:row>
      <xdr:rowOff>95250</xdr:rowOff>
    </xdr:from>
    <xdr:to>
      <xdr:col>21</xdr:col>
      <xdr:colOff>1421947</xdr:colOff>
      <xdr:row>65</xdr:row>
      <xdr:rowOff>110124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6877" t="6575" r="24357" b="8381"/>
        <a:stretch/>
      </xdr:blipFill>
      <xdr:spPr>
        <a:xfrm>
          <a:off x="8004479" y="7639050"/>
          <a:ext cx="6904868" cy="6091824"/>
        </a:xfrm>
        <a:prstGeom prst="rect">
          <a:avLst/>
        </a:prstGeom>
      </xdr:spPr>
    </xdr:pic>
    <xdr:clientData/>
  </xdr:twoCellAnchor>
  <xdr:oneCellAnchor>
    <xdr:from>
      <xdr:col>13</xdr:col>
      <xdr:colOff>81643</xdr:colOff>
      <xdr:row>35</xdr:row>
      <xdr:rowOff>156248</xdr:rowOff>
    </xdr:from>
    <xdr:ext cx="1237258" cy="223158"/>
    <xdr:pic>
      <xdr:nvPicPr>
        <xdr:cNvPr id="9" name="그림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3617" t="1984" r="70756" b="92989"/>
        <a:stretch/>
      </xdr:blipFill>
      <xdr:spPr>
        <a:xfrm>
          <a:off x="8082643" y="7490498"/>
          <a:ext cx="1237258" cy="223158"/>
        </a:xfrm>
        <a:prstGeom prst="rect">
          <a:avLst/>
        </a:prstGeom>
      </xdr:spPr>
    </xdr:pic>
    <xdr:clientData/>
  </xdr:oneCellAnchor>
  <xdr:oneCellAnchor>
    <xdr:from>
      <xdr:col>13</xdr:col>
      <xdr:colOff>17610</xdr:colOff>
      <xdr:row>66</xdr:row>
      <xdr:rowOff>11765</xdr:rowOff>
    </xdr:from>
    <xdr:ext cx="6406082" cy="4921553"/>
    <xdr:pic>
      <xdr:nvPicPr>
        <xdr:cNvPr id="10" name="그림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7531" t="8280" r="31138" b="21804"/>
        <a:stretch/>
      </xdr:blipFill>
      <xdr:spPr>
        <a:xfrm>
          <a:off x="8018610" y="13842065"/>
          <a:ext cx="6406082" cy="4921553"/>
        </a:xfrm>
        <a:prstGeom prst="rect">
          <a:avLst/>
        </a:prstGeom>
      </xdr:spPr>
    </xdr:pic>
    <xdr:clientData/>
  </xdr:oneCellAnchor>
  <xdr:oneCellAnchor>
    <xdr:from>
      <xdr:col>12</xdr:col>
      <xdr:colOff>374792</xdr:colOff>
      <xdr:row>9</xdr:row>
      <xdr:rowOff>78630</xdr:rowOff>
    </xdr:from>
    <xdr:ext cx="9626458" cy="4831787"/>
    <xdr:pic>
      <xdr:nvPicPr>
        <xdr:cNvPr id="11" name="Picture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5267" y="1964580"/>
          <a:ext cx="9626458" cy="483178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oneCellAnchor>
  <xdr:twoCellAnchor editAs="oneCell">
    <xdr:from>
      <xdr:col>0</xdr:col>
      <xdr:colOff>337457</xdr:colOff>
      <xdr:row>2</xdr:row>
      <xdr:rowOff>108858</xdr:rowOff>
    </xdr:from>
    <xdr:to>
      <xdr:col>4</xdr:col>
      <xdr:colOff>369828</xdr:colOff>
      <xdr:row>6</xdr:row>
      <xdr:rowOff>171334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7457" y="544287"/>
          <a:ext cx="2285714" cy="9333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1.%20&#52285;&#54840;&#50868;&#50689;&#50629;&#47924;\&#9670;%20&#51649;&#51217;%20&#50629;&#47924;\&#9675;%20&#50640;&#45320;&#51648;&#49548;&#48708;&#54952;&#50984;&#46321;&#44553;\&#44277;&#51648;\250522_&#48624;&#54532;&#47112;&#51076;%20&#50640;&#45320;&#51648;&#49548;&#48708;&#54952;&#50984;&#46321;&#44553;%20&#49457;&#51201;&#49436;%20&#47785;&#47197;.xlsx" TargetMode="External"/><Relationship Id="rId1" Type="http://schemas.openxmlformats.org/officeDocument/2006/relationships/externalLinkPath" Target="file:///D:\1.%20&#52285;&#54840;&#50868;&#50689;&#50629;&#47924;\&#9670;%20&#51649;&#51217;%20&#50629;&#47924;\&#9675;%20&#50640;&#45320;&#51648;&#49548;&#48708;&#54952;&#50984;&#46321;&#44553;\&#44277;&#51648;\250522_&#48624;&#54532;&#47112;&#51076;%20&#50640;&#45320;&#51648;&#49548;&#48708;&#54952;&#50984;&#46321;&#44553;%20&#49457;&#51201;&#49436;%20&#47785;&#4719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뷰프레임 전체_간략"/>
      <sheetName val="뷰프레임 전체_상세"/>
      <sheetName val="에너지공단_효율기자재관리신고서"/>
      <sheetName val="WINS 소비효율등급 확인"/>
      <sheetName val="Sheet1"/>
    </sheetNames>
    <sheetDataSet>
      <sheetData sheetId="0" refreshError="1"/>
      <sheetData sheetId="1">
        <row r="1">
          <cell r="B1" t="str">
            <v>성적서 번호</v>
          </cell>
          <cell r="C1" t="str">
            <v>발행일</v>
          </cell>
          <cell r="D1" t="str">
            <v>제품명</v>
          </cell>
          <cell r="E1" t="str">
            <v>모델명</v>
          </cell>
        </row>
        <row r="3">
          <cell r="B3" t="str">
            <v>LXH-EA24-002</v>
          </cell>
          <cell r="C3" t="str">
            <v>BF-250N,SF-4573D,GB-7GS</v>
          </cell>
          <cell r="D3" t="str">
            <v>F-250</v>
          </cell>
          <cell r="E3" t="str">
            <v>F-250-466KGGG2A5</v>
          </cell>
        </row>
        <row r="4">
          <cell r="B4" t="str">
            <v>LXH-EA24-003</v>
          </cell>
          <cell r="C4" t="str">
            <v>BF-140N,SF-4573D,GB-7GS</v>
          </cell>
          <cell r="D4" t="str">
            <v>F-140</v>
          </cell>
          <cell r="E4" t="str">
            <v>F-140-226FFKG1R5</v>
          </cell>
        </row>
        <row r="5">
          <cell r="B5" t="str">
            <v>LXH-EA24-004</v>
          </cell>
          <cell r="C5" t="str">
            <v>BF-145NE, SF-4573D, GB-7GS</v>
          </cell>
          <cell r="D5" t="str">
            <v>F-145</v>
          </cell>
          <cell r="E5" t="str">
            <v>F-145-226FFKG1R5</v>
          </cell>
        </row>
        <row r="6">
          <cell r="B6" t="str">
            <v>LXH-EA24-005</v>
          </cell>
          <cell r="C6" t="str">
            <v>BF-250N,SF-4573D,GB-7GS</v>
          </cell>
          <cell r="D6" t="str">
            <v>F-250</v>
          </cell>
          <cell r="E6" t="str">
            <v>F-250-466GGGS1R5</v>
          </cell>
        </row>
        <row r="7">
          <cell r="B7" t="str">
            <v>LXH-EA24-006</v>
          </cell>
          <cell r="C7" t="str">
            <v>BF-140N,SF-4573D,GB-65GS</v>
          </cell>
          <cell r="D7" t="str">
            <v>F-140</v>
          </cell>
          <cell r="E7" t="str">
            <v>F-140-228FFKG1R5</v>
          </cell>
        </row>
        <row r="8">
          <cell r="B8" t="str">
            <v>LXH-EA24-007</v>
          </cell>
          <cell r="C8" t="str">
            <v>BF-250N,SF-4573D,GB-7GS</v>
          </cell>
          <cell r="D8" t="str">
            <v>F-250</v>
          </cell>
          <cell r="E8" t="str">
            <v>F-250-466KGGG1R5</v>
          </cell>
        </row>
        <row r="9">
          <cell r="B9" t="str">
            <v>LXH-EA24-008</v>
          </cell>
          <cell r="C9" t="str">
            <v>BF-250N,SF-4573D,GB-65GS</v>
          </cell>
          <cell r="D9" t="str">
            <v>F-250</v>
          </cell>
          <cell r="E9" t="str">
            <v>F-250-488KGGS2R5</v>
          </cell>
        </row>
        <row r="10">
          <cell r="B10" t="str">
            <v>LXH-EA24-009</v>
          </cell>
          <cell r="C10" t="str">
            <v>BF-250N,SF-4573D,GB-7GS</v>
          </cell>
          <cell r="D10" t="str">
            <v>F-250</v>
          </cell>
          <cell r="E10" t="str">
            <v>F-250-466GGGS2A5</v>
          </cell>
        </row>
        <row r="11">
          <cell r="B11" t="str">
            <v>LXH-EA24-075</v>
          </cell>
          <cell r="C11" t="str">
            <v>BF-140N, SF-4573D, GB-7GS</v>
          </cell>
          <cell r="D11" t="str">
            <v>F-140</v>
          </cell>
          <cell r="E11" t="str">
            <v>F-140-226FFKG1A5</v>
          </cell>
        </row>
        <row r="12">
          <cell r="B12" t="str">
            <v>LXH-EA24-011</v>
          </cell>
          <cell r="C12" t="str">
            <v>BF-250N,SF-4573D,GB-7GS</v>
          </cell>
          <cell r="D12" t="str">
            <v>F-250</v>
          </cell>
          <cell r="E12" t="str">
            <v>F-250-466KGGS1R5</v>
          </cell>
        </row>
        <row r="13">
          <cell r="B13" t="str">
            <v>LXH-EA24-012</v>
          </cell>
          <cell r="C13" t="str">
            <v>BF-140N,SF-4573D,GB-7GS</v>
          </cell>
          <cell r="D13" t="str">
            <v>F-140</v>
          </cell>
          <cell r="E13" t="str">
            <v>F-140-226FFGS1A5</v>
          </cell>
        </row>
        <row r="14">
          <cell r="B14" t="str">
            <v>LXH-EA24-013</v>
          </cell>
          <cell r="C14" t="str">
            <v>BF-140N,SF-4573D,GB-7GS</v>
          </cell>
          <cell r="D14" t="str">
            <v>F-140</v>
          </cell>
          <cell r="E14" t="str">
            <v>F-140-226FFGS1R5</v>
          </cell>
        </row>
        <row r="15">
          <cell r="B15" t="str">
            <v>LXH-EA24-014</v>
          </cell>
          <cell r="C15" t="str">
            <v>BF-230WN, SF4573D, GB-7GS</v>
          </cell>
          <cell r="D15" t="str">
            <v>F-230W</v>
          </cell>
          <cell r="E15" t="str">
            <v>F-230W-226FFKG1R5</v>
          </cell>
        </row>
        <row r="16">
          <cell r="B16" t="str">
            <v>LXH-EA24-015</v>
          </cell>
          <cell r="C16" t="str">
            <v>BF-230WN, SF-4573D, GB-7GS</v>
          </cell>
          <cell r="D16" t="str">
            <v>F-230WF</v>
          </cell>
          <cell r="E16" t="str">
            <v>F-230WF-226FFKG1R5</v>
          </cell>
        </row>
        <row r="17">
          <cell r="B17" t="str">
            <v>LXH-EA24-016</v>
          </cell>
          <cell r="C17" t="str">
            <v>BF-265NE, SF-4573D</v>
          </cell>
          <cell r="D17" t="str">
            <v>F-265</v>
          </cell>
          <cell r="E17" t="str">
            <v>F-265-466GGGS2A5</v>
          </cell>
        </row>
        <row r="18">
          <cell r="B18" t="str">
            <v>LXH-EA24-017</v>
          </cell>
          <cell r="C18" t="str">
            <v>BF-265NE, CP-265NB, SF-4573D</v>
          </cell>
          <cell r="D18" t="str">
            <v>F-285</v>
          </cell>
          <cell r="E18" t="str">
            <v>F-285-466KGGS2R5</v>
          </cell>
        </row>
        <row r="19">
          <cell r="B19" t="str">
            <v>LXH-EA24-018</v>
          </cell>
          <cell r="C19" t="str">
            <v>BF-265NE, CP-265NB, SF-4573D</v>
          </cell>
          <cell r="D19" t="str">
            <v>F-285</v>
          </cell>
          <cell r="E19" t="str">
            <v>F-285-466KGGG2A5</v>
          </cell>
        </row>
        <row r="20">
          <cell r="B20" t="str">
            <v>LXH-EA24-019</v>
          </cell>
          <cell r="C20" t="str">
            <v>BF-265NE, CP-265NB, SF-4573D</v>
          </cell>
          <cell r="D20" t="str">
            <v>F-285</v>
          </cell>
          <cell r="E20" t="str">
            <v>F-285-466KGGG1R5</v>
          </cell>
        </row>
        <row r="21">
          <cell r="B21" t="str">
            <v>LXH-EA24-020</v>
          </cell>
          <cell r="C21" t="str">
            <v>BF-265NE, SF-4573D, GB-7GS</v>
          </cell>
          <cell r="D21" t="str">
            <v>F-265</v>
          </cell>
          <cell r="E21" t="str">
            <v>F-265-466KGGG1R5</v>
          </cell>
        </row>
        <row r="22">
          <cell r="B22" t="str">
            <v>LXH-EA24-021</v>
          </cell>
          <cell r="C22" t="str">
            <v>BF-265NE, SF-4573D, GB-7GS</v>
          </cell>
          <cell r="D22" t="str">
            <v>F-265</v>
          </cell>
          <cell r="E22" t="str">
            <v>F-265-466GGGS1R5</v>
          </cell>
        </row>
        <row r="23">
          <cell r="B23" t="str">
            <v>LXH-EA24-022</v>
          </cell>
          <cell r="C23" t="str">
            <v>BF-265NE, CP-265NB, SF-4573D</v>
          </cell>
          <cell r="D23" t="str">
            <v>F-285</v>
          </cell>
          <cell r="E23" t="str">
            <v>F-285-488KGGS2R5</v>
          </cell>
        </row>
        <row r="24">
          <cell r="B24" t="str">
            <v>LXH-EA24-023</v>
          </cell>
          <cell r="C24" t="str">
            <v>BF-265NE, CP-265NB, SF-4573D</v>
          </cell>
          <cell r="D24" t="str">
            <v>F-285</v>
          </cell>
          <cell r="E24" t="str">
            <v>F-285-466GGGS2A5</v>
          </cell>
        </row>
        <row r="25">
          <cell r="B25" t="str">
            <v>LXH-EA24-024</v>
          </cell>
          <cell r="C25" t="str">
            <v>BF-265NE, SF-4573D</v>
          </cell>
          <cell r="D25" t="str">
            <v>F-265</v>
          </cell>
          <cell r="E25" t="str">
            <v>F-265-466KGGG2A5</v>
          </cell>
        </row>
        <row r="26">
          <cell r="B26" t="str">
            <v>LXH-EA24-025</v>
          </cell>
          <cell r="C26" t="str">
            <v>BF-265NE, SF-4573D, GB-65GS</v>
          </cell>
          <cell r="D26" t="str">
            <v>F-265</v>
          </cell>
          <cell r="E26" t="str">
            <v>F-265-488KGGS2R5</v>
          </cell>
        </row>
        <row r="27">
          <cell r="B27" t="str">
            <v>LXH-EA24-026</v>
          </cell>
          <cell r="C27" t="str">
            <v>BF-265NE, CP-265NB, SF-4573D</v>
          </cell>
          <cell r="D27" t="str">
            <v>F-285</v>
          </cell>
          <cell r="E27" t="str">
            <v>F-285-466GGGS1R5</v>
          </cell>
        </row>
        <row r="28">
          <cell r="B28" t="str">
            <v>LXH-EA24-027</v>
          </cell>
          <cell r="C28" t="str">
            <v>BF-265NE, SF-4573D</v>
          </cell>
          <cell r="D28" t="str">
            <v>F-265</v>
          </cell>
          <cell r="E28" t="str">
            <v>F-265-466KGGS2R5</v>
          </cell>
        </row>
        <row r="29">
          <cell r="B29" t="str">
            <v>LXH-EA24-028</v>
          </cell>
          <cell r="C29" t="str">
            <v>BF-230WN, SF-4573D, GB-7GS</v>
          </cell>
          <cell r="D29" t="str">
            <v>F-230WF</v>
          </cell>
          <cell r="E29" t="str">
            <v>F-230WF-226FFGS1R5</v>
          </cell>
        </row>
        <row r="30">
          <cell r="B30" t="str">
            <v>LXH-EA24-029</v>
          </cell>
          <cell r="C30" t="str">
            <v>BF-230WN, SF-4573D, GB-7GS</v>
          </cell>
          <cell r="D30" t="str">
            <v>F-230W</v>
          </cell>
          <cell r="E30" t="str">
            <v>F-230W-226FFKG1A5</v>
          </cell>
        </row>
        <row r="31">
          <cell r="B31" t="str">
            <v>LXH-EA24-030</v>
          </cell>
          <cell r="C31" t="str">
            <v>BF-230WN, SF-4573D, GB-7GS</v>
          </cell>
          <cell r="D31" t="str">
            <v>F-230W</v>
          </cell>
          <cell r="E31" t="str">
            <v>F-230W-226FFGS1R5</v>
          </cell>
        </row>
        <row r="32">
          <cell r="B32" t="str">
            <v>LXH-EA24-031</v>
          </cell>
          <cell r="C32" t="str">
            <v>BF-230WN, SF-4573D, GB-65GS</v>
          </cell>
          <cell r="D32" t="str">
            <v>F-230WF</v>
          </cell>
          <cell r="E32" t="str">
            <v>F-230WF-228FFKG1R5</v>
          </cell>
        </row>
        <row r="33">
          <cell r="B33" t="str">
            <v>LXH-EA24-032</v>
          </cell>
          <cell r="C33" t="str">
            <v>BF-230WN, SF-4573D, GB-7GS</v>
          </cell>
          <cell r="D33" t="str">
            <v>F-230WF</v>
          </cell>
          <cell r="E33" t="str">
            <v>F-230WF-226FFGS1A5</v>
          </cell>
        </row>
        <row r="34">
          <cell r="B34" t="str">
            <v>LXH-EA24-033</v>
          </cell>
          <cell r="C34" t="str">
            <v>BF-230WN, SF-4573D, GB-7GS</v>
          </cell>
          <cell r="D34" t="str">
            <v>F-230WF</v>
          </cell>
          <cell r="E34" t="str">
            <v>F-230WF-226FFKG1A5</v>
          </cell>
        </row>
        <row r="35">
          <cell r="B35" t="str">
            <v>LXH-EA24-034</v>
          </cell>
          <cell r="C35" t="str">
            <v>BF-230WN, SF-4573D, GB-65GS</v>
          </cell>
          <cell r="D35" t="str">
            <v>F-230W</v>
          </cell>
          <cell r="E35" t="str">
            <v>F-230W-228FFKG1R5</v>
          </cell>
        </row>
        <row r="36">
          <cell r="B36" t="str">
            <v>LXH-EA24-035</v>
          </cell>
          <cell r="C36" t="str">
            <v>BF-230WN, SF-4573D, GB-7GS</v>
          </cell>
          <cell r="D36" t="str">
            <v>F-230W</v>
          </cell>
          <cell r="E36" t="str">
            <v>F-230W-226FFGS1A5</v>
          </cell>
        </row>
        <row r="37">
          <cell r="B37" t="str">
            <v>LXH-EA24-036</v>
          </cell>
          <cell r="C37" t="str">
            <v>BF-145NE, SF-4573D, GB-7GS</v>
          </cell>
          <cell r="D37" t="str">
            <v>F-145</v>
          </cell>
          <cell r="E37" t="str">
            <v>F-145-226FFKG1A5</v>
          </cell>
        </row>
        <row r="38">
          <cell r="B38" t="str">
            <v>LXH-EA24-037</v>
          </cell>
          <cell r="C38" t="str">
            <v>BF-145NE, SF-4573D, GB-7GS</v>
          </cell>
          <cell r="D38" t="str">
            <v>F-145</v>
          </cell>
          <cell r="E38" t="str">
            <v>F-145-226FFGS1R5</v>
          </cell>
        </row>
        <row r="39">
          <cell r="B39" t="str">
            <v>LXH-EA24-038</v>
          </cell>
          <cell r="C39" t="str">
            <v>BF-145NE, SF-4573D, GB-7GS</v>
          </cell>
          <cell r="D39" t="str">
            <v>F-145</v>
          </cell>
          <cell r="E39" t="str">
            <v>F-145-226FFGS1A5</v>
          </cell>
        </row>
        <row r="40">
          <cell r="B40" t="str">
            <v>LXH-EA24-039</v>
          </cell>
          <cell r="C40" t="str">
            <v>BF-145NE, SF-4573D, GB-65GS</v>
          </cell>
          <cell r="D40" t="str">
            <v>F-145</v>
          </cell>
          <cell r="E40" t="str">
            <v>F-145-228FFKG1R5</v>
          </cell>
        </row>
        <row r="41">
          <cell r="B41" t="str">
            <v>LXH-EA24-040</v>
          </cell>
          <cell r="C41" t="str">
            <v>BF-140N, SF-4580, GB-7GS</v>
          </cell>
          <cell r="D41" t="str">
            <v>F-140S</v>
          </cell>
          <cell r="E41" t="str">
            <v>F-140S-226FFGS1A5</v>
          </cell>
        </row>
        <row r="42">
          <cell r="B42" t="str">
            <v>LXH-EA24-041</v>
          </cell>
          <cell r="C42" t="str">
            <v>BF-140N, SF-4580, GB-7GS</v>
          </cell>
          <cell r="D42" t="str">
            <v>F-140S</v>
          </cell>
          <cell r="E42" t="str">
            <v>F-140S-226FFKG1R5</v>
          </cell>
        </row>
        <row r="43">
          <cell r="B43" t="str">
            <v>LXH-EA24-042</v>
          </cell>
          <cell r="C43" t="str">
            <v>BF-140N, SF-4580, GB-7GS</v>
          </cell>
          <cell r="D43" t="str">
            <v>F-140S</v>
          </cell>
          <cell r="E43" t="str">
            <v>F-140S-226FFGS1R5</v>
          </cell>
        </row>
        <row r="44">
          <cell r="B44" t="str">
            <v>LXH-EA24-043</v>
          </cell>
          <cell r="C44" t="str">
            <v>BF-140N, SF-4580, GB-7GS</v>
          </cell>
          <cell r="D44" t="str">
            <v>F-140S</v>
          </cell>
          <cell r="E44" t="str">
            <v>F-140S-226FFKG1A5</v>
          </cell>
        </row>
        <row r="45">
          <cell r="B45" t="str">
            <v>LXH-EA24-044</v>
          </cell>
          <cell r="C45" t="str">
            <v>BF-140N, SF-4580, GB-10GS</v>
          </cell>
          <cell r="D45" t="str">
            <v>F-140S</v>
          </cell>
          <cell r="E45" t="str">
            <v>F-140S-224FFKG1A5</v>
          </cell>
        </row>
        <row r="46">
          <cell r="B46" t="str">
            <v>LXH-EA24-045</v>
          </cell>
          <cell r="C46" t="str">
            <v>BF-140N, SF-4580, GB-65GS</v>
          </cell>
          <cell r="D46" t="str">
            <v>F-140S</v>
          </cell>
          <cell r="E46" t="str">
            <v>F-140S-228FFGS1A5</v>
          </cell>
        </row>
        <row r="47">
          <cell r="B47" t="str">
            <v>LXH-EA24-046</v>
          </cell>
          <cell r="C47" t="str">
            <v>BF-250N, SF-4580, GB-7GS</v>
          </cell>
          <cell r="D47" t="str">
            <v>F-250S</v>
          </cell>
          <cell r="E47" t="str">
            <v>F-250S-466GGGS1R5</v>
          </cell>
        </row>
        <row r="48">
          <cell r="B48" t="str">
            <v>LXH-EA24-047</v>
          </cell>
          <cell r="C48" t="str">
            <v>BF-140N, SF-4580, GB-10GS</v>
          </cell>
          <cell r="D48" t="str">
            <v>F-140S</v>
          </cell>
          <cell r="E48" t="str">
            <v>F-140S-224FFKG1R5</v>
          </cell>
        </row>
        <row r="49">
          <cell r="B49" t="str">
            <v>LXH-EA24-048</v>
          </cell>
          <cell r="C49" t="str">
            <v>BF-250N, SF-4580, GB-7GS</v>
          </cell>
          <cell r="D49" t="str">
            <v>F-250S</v>
          </cell>
          <cell r="E49" t="str">
            <v>F-250S-466KGGS2R5</v>
          </cell>
        </row>
        <row r="50">
          <cell r="B50" t="str">
            <v>LXH-EA24-049</v>
          </cell>
          <cell r="C50" t="str">
            <v>BF-250N, SF-4580, GB-7GS</v>
          </cell>
          <cell r="D50" t="str">
            <v>F-250S</v>
          </cell>
          <cell r="E50" t="str">
            <v>F-250S-466KGGG2A5</v>
          </cell>
        </row>
        <row r="51">
          <cell r="B51" t="str">
            <v>LXH-EA24-050</v>
          </cell>
          <cell r="C51" t="str">
            <v>BF-140N, SF-4580, GB-65GS</v>
          </cell>
          <cell r="D51" t="str">
            <v>F-140S</v>
          </cell>
          <cell r="E51" t="str">
            <v>F-140S-228FFKG1A5</v>
          </cell>
        </row>
        <row r="52">
          <cell r="B52" t="str">
            <v>LXH-EA24-051</v>
          </cell>
          <cell r="C52" t="str">
            <v>BF-140N, SF-4580, GB-10GS</v>
          </cell>
          <cell r="D52" t="str">
            <v>F-140S</v>
          </cell>
          <cell r="E52" t="str">
            <v>F-140S-224FFGS1R5</v>
          </cell>
        </row>
        <row r="53">
          <cell r="B53" t="str">
            <v>LXH-EA24-052</v>
          </cell>
          <cell r="C53" t="str">
            <v>BF-250N, SF-4580, GB-7GS</v>
          </cell>
          <cell r="D53" t="str">
            <v>F-250S</v>
          </cell>
          <cell r="E53" t="str">
            <v>F-250S-466KGGG1R5</v>
          </cell>
        </row>
        <row r="54">
          <cell r="B54" t="str">
            <v>LXH-EA24-053</v>
          </cell>
          <cell r="C54" t="str">
            <v>BF-250N,SF-4580,GS-7GS</v>
          </cell>
          <cell r="D54" t="str">
            <v>F-250S</v>
          </cell>
          <cell r="E54" t="str">
            <v>F-250S-466GGGS2A5</v>
          </cell>
        </row>
        <row r="55">
          <cell r="B55" t="str">
            <v>LXH-EA24-054</v>
          </cell>
          <cell r="C55" t="str">
            <v>BF-230WN, SF-4580, GB-65GS</v>
          </cell>
          <cell r="D55" t="str">
            <v>F-230WS</v>
          </cell>
          <cell r="E55" t="str">
            <v>F-230WS-228FFKG1R5</v>
          </cell>
        </row>
        <row r="56">
          <cell r="B56" t="str">
            <v>LXH-EA24-055</v>
          </cell>
          <cell r="C56" t="str">
            <v>BF-230WN, SF-4573D, GB-7GS</v>
          </cell>
          <cell r="D56" t="str">
            <v>F-230WS</v>
          </cell>
          <cell r="E56" t="str">
            <v>F-230WS-226FFGS1A5</v>
          </cell>
        </row>
        <row r="57">
          <cell r="B57" t="str">
            <v>LXH-EA24-056</v>
          </cell>
          <cell r="C57" t="str">
            <v>BF-230WN, SF-4580, GB</v>
          </cell>
          <cell r="D57" t="str">
            <v>F-230WS</v>
          </cell>
          <cell r="E57" t="str">
            <v>F-230WS-226FFKG1R5</v>
          </cell>
        </row>
        <row r="58">
          <cell r="B58" t="str">
            <v>LXH-EA24-057</v>
          </cell>
          <cell r="C58" t="str">
            <v>BF-230WN, SF-4580, GB-7GS</v>
          </cell>
          <cell r="D58" t="str">
            <v>F-230WS</v>
          </cell>
          <cell r="E58" t="str">
            <v>F-230WS-226FFKG1A5</v>
          </cell>
        </row>
        <row r="59">
          <cell r="B59" t="str">
            <v>LXH-EA24-058</v>
          </cell>
          <cell r="C59" t="str">
            <v>BF-140N, SF-4580, GB-10GS</v>
          </cell>
          <cell r="D59" t="str">
            <v>F-140S</v>
          </cell>
          <cell r="E59" t="str">
            <v>F-140S-224FFGS1A5</v>
          </cell>
        </row>
        <row r="60">
          <cell r="B60" t="str">
            <v>LXH-EA24-059</v>
          </cell>
          <cell r="C60" t="str">
            <v>BF-265NE, CP-265NB, SF-4573D</v>
          </cell>
          <cell r="D60" t="str">
            <v>F-285</v>
          </cell>
          <cell r="E60" t="str">
            <v>F-285-488KGGG2A5</v>
          </cell>
        </row>
        <row r="61">
          <cell r="B61" t="str">
            <v>LXH-EA24-060</v>
          </cell>
          <cell r="C61" t="str">
            <v>BF-265NE, SF-4573D, GB-65GS</v>
          </cell>
          <cell r="D61" t="str">
            <v>F-265</v>
          </cell>
          <cell r="E61" t="str">
            <v>F-265-488KGGG2A5</v>
          </cell>
        </row>
        <row r="62">
          <cell r="B62" t="str">
            <v>LXH-EA24-061</v>
          </cell>
          <cell r="C62" t="str">
            <v>BF-265NE, SF-4573D, GB-65GS</v>
          </cell>
          <cell r="D62" t="str">
            <v>F-265</v>
          </cell>
          <cell r="E62" t="str">
            <v>F-265-488GGGS1R5</v>
          </cell>
        </row>
        <row r="63">
          <cell r="B63" t="str">
            <v>LXH-EA24-062</v>
          </cell>
          <cell r="C63" t="str">
            <v>BF-265NE, SF-4573D, GB-65GS</v>
          </cell>
          <cell r="D63" t="str">
            <v>F-265</v>
          </cell>
          <cell r="E63" t="str">
            <v>F-265-488GGGS2A5</v>
          </cell>
        </row>
        <row r="64">
          <cell r="B64" t="str">
            <v>LXH-EA24-063</v>
          </cell>
          <cell r="C64" t="str">
            <v>BF-265NE, CP-265NB, SF-4573D</v>
          </cell>
          <cell r="D64" t="str">
            <v>F-285</v>
          </cell>
          <cell r="E64" t="str">
            <v>F-285-488GGGS2A5</v>
          </cell>
        </row>
        <row r="65">
          <cell r="B65" t="str">
            <v>LXH-EA24-064</v>
          </cell>
          <cell r="C65" t="str">
            <v>BF-265NE, SF-4573D, GB-65GS</v>
          </cell>
          <cell r="D65" t="str">
            <v>F-265</v>
          </cell>
          <cell r="E65" t="str">
            <v>F-265-488KGGG1R5</v>
          </cell>
        </row>
        <row r="66">
          <cell r="B66" t="str">
            <v>LXH-EA24-065</v>
          </cell>
          <cell r="C66" t="str">
            <v>BF-265NE, CP-265NB, SF-4573D</v>
          </cell>
          <cell r="D66" t="str">
            <v>F-285</v>
          </cell>
          <cell r="E66" t="str">
            <v>F-285-488GGGS1R5</v>
          </cell>
        </row>
        <row r="67">
          <cell r="B67" t="str">
            <v>LXH-EA24-066</v>
          </cell>
          <cell r="C67" t="str">
            <v>BF-265NE, CP-265NB, SF-4573D</v>
          </cell>
          <cell r="D67" t="str">
            <v>F-285</v>
          </cell>
          <cell r="E67" t="str">
            <v>F-285-488KGGG1R5</v>
          </cell>
        </row>
        <row r="68">
          <cell r="B68" t="str">
            <v>LXH-EA24-067</v>
          </cell>
          <cell r="C68" t="str">
            <v>BF-230WN, SF-4580, GB-7GS</v>
          </cell>
          <cell r="D68" t="str">
            <v>F-230WS</v>
          </cell>
          <cell r="E68" t="str">
            <v>F-230WS-226FFGS1R5</v>
          </cell>
        </row>
        <row r="69">
          <cell r="B69" t="str">
            <v>LXH-EA24-068</v>
          </cell>
          <cell r="C69" t="str">
            <v>BF-230WN, SF-4580, GB-10GS</v>
          </cell>
          <cell r="D69" t="str">
            <v>F-230WS</v>
          </cell>
          <cell r="E69" t="str">
            <v>F-230WS-224FFGS1A5</v>
          </cell>
        </row>
        <row r="70">
          <cell r="B70" t="str">
            <v>LXH-EA24-069</v>
          </cell>
          <cell r="C70" t="str">
            <v>BF-230WN, SF-4580, GB-65GS</v>
          </cell>
          <cell r="D70" t="str">
            <v>F-230WS</v>
          </cell>
          <cell r="E70" t="str">
            <v>F-230WS-228FFGS1A5</v>
          </cell>
        </row>
        <row r="71">
          <cell r="B71" t="str">
            <v>LXH-EA24-070</v>
          </cell>
          <cell r="C71" t="str">
            <v>BF-230WN, SF-4580, GB-65GS</v>
          </cell>
          <cell r="D71" t="str">
            <v>F-230WS</v>
          </cell>
          <cell r="E71" t="str">
            <v>F-230WS-228FFKG1A5</v>
          </cell>
        </row>
        <row r="72">
          <cell r="B72" t="str">
            <v>LXH-EA24-071</v>
          </cell>
          <cell r="C72" t="str">
            <v>BF-230WN, SF-4580, GB-10GS</v>
          </cell>
          <cell r="D72" t="str">
            <v>F-230WS</v>
          </cell>
          <cell r="E72" t="str">
            <v>F-230WS-224FFKG1A5</v>
          </cell>
        </row>
        <row r="73">
          <cell r="B73" t="str">
            <v>LXH-EA24-072</v>
          </cell>
          <cell r="C73" t="str">
            <v>BF-230WN, SF-4580, GB-10GS</v>
          </cell>
          <cell r="D73" t="str">
            <v>F-230WS</v>
          </cell>
          <cell r="E73" t="str">
            <v>F-230WS-224FFKG1R5</v>
          </cell>
        </row>
        <row r="74">
          <cell r="B74" t="str">
            <v>LXH-EA24-073</v>
          </cell>
          <cell r="C74" t="str">
            <v>BF-230WN, SF-4580, GB-10GS</v>
          </cell>
          <cell r="D74" t="str">
            <v>F-230WS</v>
          </cell>
          <cell r="E74" t="str">
            <v>F-230WS-224FFGS1R5</v>
          </cell>
        </row>
        <row r="75">
          <cell r="B75" t="str">
            <v>LXH-EA24-074</v>
          </cell>
          <cell r="C75" t="str">
            <v>BF-230WN, SF-4580, GB-65GS</v>
          </cell>
          <cell r="D75" t="str">
            <v>F-230WS</v>
          </cell>
          <cell r="E75" t="str">
            <v>F-230WS-228FFGS1R5</v>
          </cell>
        </row>
        <row r="76">
          <cell r="B76" t="str">
            <v>LXH-EA24-076</v>
          </cell>
          <cell r="C76" t="str">
            <v>BF-265NE, CP-265NB, SF-4573D</v>
          </cell>
          <cell r="D76" t="str">
            <v>F-285</v>
          </cell>
          <cell r="E76" t="str">
            <v>F-285-444KGGG2A5</v>
          </cell>
        </row>
        <row r="77">
          <cell r="B77" t="str">
            <v>LXH-EA24-077</v>
          </cell>
          <cell r="C77" t="str">
            <v>BF-265NE, SF-4573D, GB-10GS</v>
          </cell>
          <cell r="D77" t="str">
            <v>F-265</v>
          </cell>
          <cell r="E77" t="str">
            <v>F-265-444KGGG2A5</v>
          </cell>
        </row>
        <row r="78">
          <cell r="B78" t="str">
            <v>LXH-EA24-078</v>
          </cell>
          <cell r="C78" t="str">
            <v>BF-265NE, CP-265NB, SF-4573D</v>
          </cell>
          <cell r="D78" t="str">
            <v>F-285</v>
          </cell>
          <cell r="E78" t="str">
            <v>F-285-444KGGS2R5</v>
          </cell>
        </row>
        <row r="79">
          <cell r="B79" t="str">
            <v>LXH-EA24-079</v>
          </cell>
          <cell r="C79" t="str">
            <v>BF-265NE, SF-4573D, GB-10GS</v>
          </cell>
          <cell r="D79" t="str">
            <v>F-265</v>
          </cell>
          <cell r="E79" t="str">
            <v>F-265-444KGGG1R5</v>
          </cell>
        </row>
        <row r="80">
          <cell r="B80" t="str">
            <v>LXH-EA24-080</v>
          </cell>
          <cell r="C80" t="str">
            <v>BF-265NE, SF-4573D, GB-10GS</v>
          </cell>
          <cell r="D80" t="str">
            <v>F-265</v>
          </cell>
          <cell r="E80" t="str">
            <v>F-265-444KGGS2R5</v>
          </cell>
        </row>
        <row r="81">
          <cell r="B81" t="str">
            <v>LXH-EA24-081</v>
          </cell>
          <cell r="C81" t="str">
            <v>BF-265NE, CP-265NB, SF-4573D</v>
          </cell>
          <cell r="D81" t="str">
            <v>F-285</v>
          </cell>
          <cell r="E81" t="str">
            <v>F-285-444KGGG1R5</v>
          </cell>
        </row>
        <row r="82">
          <cell r="B82" t="str">
            <v>LXH-EA24-084</v>
          </cell>
          <cell r="C82" t="str">
            <v>BF-250N, SF-4580, GB-10GS</v>
          </cell>
          <cell r="D82" t="str">
            <v>F-250S</v>
          </cell>
          <cell r="E82" t="str">
            <v>F-250S-444KGGS2R5</v>
          </cell>
        </row>
        <row r="83">
          <cell r="B83" t="str">
            <v>LXH-EA24-085</v>
          </cell>
          <cell r="C83" t="str">
            <v>BF-250N, SF-4580, GB-65GS</v>
          </cell>
          <cell r="D83" t="str">
            <v>F-250S</v>
          </cell>
          <cell r="E83" t="str">
            <v>F-250S-488GGGS2A5</v>
          </cell>
        </row>
        <row r="84">
          <cell r="B84" t="str">
            <v>LXH-EA24-086</v>
          </cell>
          <cell r="C84" t="str">
            <v>BF-250N, SF-4580, GB-10GS</v>
          </cell>
          <cell r="D84" t="str">
            <v>F-250S</v>
          </cell>
          <cell r="E84" t="str">
            <v>F-250S-444KGGG1R5</v>
          </cell>
        </row>
        <row r="85">
          <cell r="B85" t="str">
            <v>LXH-EA24-087</v>
          </cell>
          <cell r="C85" t="str">
            <v>BF-250N, SF-4580, GB-91P</v>
          </cell>
          <cell r="D85" t="str">
            <v>F-250S</v>
          </cell>
          <cell r="E85" t="str">
            <v>F-250S-422KGGS2A5</v>
          </cell>
        </row>
        <row r="86">
          <cell r="B86" t="str">
            <v>LXH-EA24-088</v>
          </cell>
          <cell r="C86" t="str">
            <v>BF-250N, SF-4580, GB-10GS</v>
          </cell>
          <cell r="D86" t="str">
            <v>F-250S</v>
          </cell>
          <cell r="E86" t="str">
            <v>F-250S-444GGGS2A5</v>
          </cell>
        </row>
        <row r="87">
          <cell r="B87" t="str">
            <v>LXH-EA24-089</v>
          </cell>
          <cell r="C87" t="str">
            <v>BF-250N, SF-4580, GB-91P</v>
          </cell>
          <cell r="D87" t="str">
            <v>F-250S</v>
          </cell>
          <cell r="E87" t="str">
            <v>F-250S-422GSGS2R5</v>
          </cell>
        </row>
        <row r="88">
          <cell r="B88" t="str">
            <v>LXH-EA24-090</v>
          </cell>
          <cell r="C88" t="str">
            <v>BF-250N, SF-4580, GB-10GS</v>
          </cell>
          <cell r="D88" t="str">
            <v>F-250S</v>
          </cell>
          <cell r="E88" t="str">
            <v>F-250S-444KGGG2A5</v>
          </cell>
        </row>
        <row r="89">
          <cell r="B89" t="str">
            <v>LXH-EA24-091</v>
          </cell>
          <cell r="C89" t="str">
            <v>BF-250N, SF-4580, GB-65GS</v>
          </cell>
          <cell r="D89" t="str">
            <v>F-250S</v>
          </cell>
          <cell r="E89" t="str">
            <v>F-250S-488KGGG2A5</v>
          </cell>
        </row>
        <row r="90">
          <cell r="B90" t="str">
            <v>LXH-EA24-092</v>
          </cell>
          <cell r="C90" t="str">
            <v>BF-250N, SF-4580, GB-10GS</v>
          </cell>
          <cell r="D90" t="str">
            <v>F-250S</v>
          </cell>
          <cell r="E90" t="str">
            <v>F-250S-444GGGS1R5</v>
          </cell>
        </row>
        <row r="91">
          <cell r="B91" t="str">
            <v>LXH-EA24-093</v>
          </cell>
          <cell r="C91" t="str">
            <v>BF-145NE, CP-145F, SF-4580</v>
          </cell>
          <cell r="D91" t="str">
            <v>F-145S</v>
          </cell>
          <cell r="E91" t="str">
            <v>F-145S-226FFGS1R5</v>
          </cell>
        </row>
        <row r="92">
          <cell r="B92" t="str">
            <v>LXH-EA24-094</v>
          </cell>
          <cell r="C92" t="str">
            <v>BF-145NE, CP-145NF, SF-4580</v>
          </cell>
          <cell r="D92" t="str">
            <v>F-145S</v>
          </cell>
          <cell r="E92" t="str">
            <v>F-145S-226FFKG1R5</v>
          </cell>
        </row>
        <row r="93">
          <cell r="B93" t="str">
            <v>LXH-EA24-095</v>
          </cell>
          <cell r="C93" t="str">
            <v>BF-145NE, CP-145NF, SF-4580</v>
          </cell>
          <cell r="D93" t="str">
            <v>F-145S</v>
          </cell>
          <cell r="E93" t="str">
            <v>F-145S-226FFGS1A5</v>
          </cell>
        </row>
        <row r="94">
          <cell r="B94" t="str">
            <v>LXH-EA24-096</v>
          </cell>
          <cell r="C94" t="str">
            <v>BF-145NE, CP-145NF, SF-4580</v>
          </cell>
          <cell r="D94" t="str">
            <v>F-145S</v>
          </cell>
          <cell r="E94" t="str">
            <v>F-145S-226FFKG1A5</v>
          </cell>
        </row>
        <row r="95">
          <cell r="B95" t="str">
            <v>LXH-EA24-097</v>
          </cell>
          <cell r="C95" t="str">
            <v>BF-145NE, CP-145NF, SF-4580</v>
          </cell>
          <cell r="D95" t="str">
            <v>F-145S</v>
          </cell>
          <cell r="E95" t="str">
            <v>F-145S-228FFKG1R5</v>
          </cell>
        </row>
        <row r="96">
          <cell r="B96" t="str">
            <v>LXH-EA24-099</v>
          </cell>
          <cell r="C96" t="str">
            <v>BF-265NE, CP-145NF, SF-4580</v>
          </cell>
          <cell r="D96" t="str">
            <v>F-265S</v>
          </cell>
          <cell r="E96" t="str">
            <v>F-265S-466KGGG2A5</v>
          </cell>
        </row>
        <row r="97">
          <cell r="B97" t="str">
            <v>LXH-EA24-100</v>
          </cell>
          <cell r="C97" t="str">
            <v>BF-265NE, CP-145NF, SF-4580</v>
          </cell>
          <cell r="D97" t="str">
            <v>F-265S</v>
          </cell>
          <cell r="E97" t="str">
            <v>F-265S-466KGGS2R5</v>
          </cell>
        </row>
        <row r="98">
          <cell r="B98" t="str">
            <v>LXH-EA24-101</v>
          </cell>
          <cell r="C98" t="str">
            <v>BF-265NE, CP-145NF, SF-4580</v>
          </cell>
          <cell r="D98" t="str">
            <v>F-265S</v>
          </cell>
          <cell r="E98" t="str">
            <v>F-265S-466GGGS1R5</v>
          </cell>
        </row>
        <row r="99">
          <cell r="B99" t="str">
            <v>LXH-EA24-102</v>
          </cell>
          <cell r="C99" t="str">
            <v>BF-265NE, CP-145NF, SF-4580</v>
          </cell>
          <cell r="D99" t="str">
            <v>F-265S</v>
          </cell>
          <cell r="E99" t="str">
            <v>F-265S-466KGGG1R5</v>
          </cell>
        </row>
        <row r="100">
          <cell r="B100" t="str">
            <v>LXH-EA24-103</v>
          </cell>
          <cell r="C100" t="str">
            <v>BF-265NE, CP-265NB, SF-4580</v>
          </cell>
          <cell r="D100" t="str">
            <v>F-285S</v>
          </cell>
          <cell r="E100" t="str">
            <v>F-285S-466KGGG2A5</v>
          </cell>
        </row>
        <row r="101">
          <cell r="B101" t="str">
            <v>LXH-EA24-104</v>
          </cell>
          <cell r="C101" t="str">
            <v>BF-265NE, CP-265NB, SF-4580</v>
          </cell>
          <cell r="D101" t="str">
            <v>F-285S</v>
          </cell>
          <cell r="E101" t="str">
            <v>F-285S-466GGGS1R5</v>
          </cell>
        </row>
        <row r="102">
          <cell r="B102" t="str">
            <v>LXH-EA24-105</v>
          </cell>
          <cell r="C102" t="str">
            <v>BF-265NE, CP-265NB, SF-4580</v>
          </cell>
          <cell r="D102" t="str">
            <v>F-285S</v>
          </cell>
          <cell r="E102" t="str">
            <v>F-285S-466KGGG1R5</v>
          </cell>
        </row>
        <row r="103">
          <cell r="B103" t="str">
            <v>LXH-EA24-106</v>
          </cell>
          <cell r="C103" t="str">
            <v>BF-265NE, CP-265NB, SF-4580</v>
          </cell>
          <cell r="D103" t="str">
            <v>F-285S</v>
          </cell>
          <cell r="E103" t="str">
            <v>F-285S-466KGGS2R5</v>
          </cell>
        </row>
        <row r="104">
          <cell r="B104" t="str">
            <v>LXH-EA24-107</v>
          </cell>
          <cell r="C104" t="str">
            <v>BF-265NE, CP-145NF, SF-4580</v>
          </cell>
          <cell r="D104" t="str">
            <v>F-265S</v>
          </cell>
          <cell r="E104" t="str">
            <v>F-265S-488KGGS2R5</v>
          </cell>
        </row>
        <row r="105">
          <cell r="B105" t="str">
            <v>LXH-EA24-108</v>
          </cell>
          <cell r="C105" t="str">
            <v>BF-140N, SF-4573D, GB-7GS</v>
          </cell>
          <cell r="D105" t="str">
            <v>F-140</v>
          </cell>
          <cell r="E105" t="str">
            <v>F-140-226FFGG1A5</v>
          </cell>
        </row>
        <row r="106">
          <cell r="B106" t="str">
            <v>LXH-EA24-109</v>
          </cell>
          <cell r="C106" t="str">
            <v>BF-140N, SF-4573D,GB-65GS</v>
          </cell>
          <cell r="D106" t="str">
            <v>F-140</v>
          </cell>
          <cell r="E106" t="str">
            <v>F-140-228FFGS1R5</v>
          </cell>
        </row>
        <row r="107">
          <cell r="B107" t="str">
            <v>LXH-EA24-110</v>
          </cell>
          <cell r="C107" t="str">
            <v>BF-140N, SF-4573D,GB-65GS</v>
          </cell>
          <cell r="D107" t="str">
            <v>F-140</v>
          </cell>
          <cell r="E107" t="str">
            <v>F-140-228FFKG1A5</v>
          </cell>
        </row>
        <row r="108">
          <cell r="B108" t="str">
            <v>LXH-EA24-111</v>
          </cell>
          <cell r="C108" t="str">
            <v>BF-140N, SF-4573D,GB-10GS</v>
          </cell>
          <cell r="D108" t="str">
            <v>F-140</v>
          </cell>
          <cell r="E108" t="str">
            <v>F-140-224FFGS1R5</v>
          </cell>
        </row>
        <row r="109">
          <cell r="B109" t="str">
            <v>LXH-EA24-112</v>
          </cell>
          <cell r="C109" t="str">
            <v>BF-140N, SF-4573D,GB-65GS</v>
          </cell>
          <cell r="D109" t="str">
            <v>F-140</v>
          </cell>
          <cell r="E109" t="str">
            <v>F-140-228FFGS1A5</v>
          </cell>
        </row>
        <row r="110">
          <cell r="B110" t="str">
            <v>LXH-EA24-113</v>
          </cell>
          <cell r="C110" t="str">
            <v>BF-265NE, CP-265NB, SF-4580</v>
          </cell>
          <cell r="D110" t="str">
            <v>F-285S</v>
          </cell>
          <cell r="E110" t="str">
            <v>F-285S-488KGGS2R5</v>
          </cell>
        </row>
        <row r="111">
          <cell r="B111" t="str">
            <v>LXH-EA24-114</v>
          </cell>
          <cell r="C111" t="str">
            <v>BF-145NE, SF-4573D, GB-65GS</v>
          </cell>
          <cell r="D111" t="str">
            <v>F-145</v>
          </cell>
          <cell r="E111" t="str">
            <v>F-145-228FFGS1R5</v>
          </cell>
        </row>
        <row r="112">
          <cell r="B112" t="str">
            <v>LXH-EA24-115</v>
          </cell>
          <cell r="C112" t="str">
            <v>BF-145NE, SF-4573D, GB-10GS</v>
          </cell>
          <cell r="D112" t="str">
            <v>F-145</v>
          </cell>
          <cell r="E112" t="str">
            <v>F-145-224FFGS1R5</v>
          </cell>
        </row>
        <row r="113">
          <cell r="B113" t="str">
            <v>LXH-EA24-116</v>
          </cell>
          <cell r="C113" t="str">
            <v>BF-140N, SF-4580, GB-65GS</v>
          </cell>
          <cell r="D113" t="str">
            <v>F-140S</v>
          </cell>
          <cell r="E113" t="str">
            <v>F-140S-228FFKG1R5</v>
          </cell>
        </row>
        <row r="114">
          <cell r="B114" t="str">
            <v>LXH-EA24-117</v>
          </cell>
          <cell r="C114" t="str">
            <v>BF-250N, SF-4580, GB-65GS</v>
          </cell>
          <cell r="D114" t="str">
            <v>F-250S</v>
          </cell>
          <cell r="E114" t="str">
            <v>F-250S-488KGGS2R5</v>
          </cell>
        </row>
        <row r="115">
          <cell r="B115" t="str">
            <v>LXH-EA24-118</v>
          </cell>
          <cell r="C115" t="str">
            <v>BF-140N, SF-4580, GB-65GS</v>
          </cell>
          <cell r="D115" t="str">
            <v>F-140S</v>
          </cell>
          <cell r="E115" t="str">
            <v>F-140S-228FFGS1R5</v>
          </cell>
        </row>
        <row r="116">
          <cell r="B116" t="str">
            <v>LXH-EA24-119</v>
          </cell>
          <cell r="C116" t="str">
            <v>BF-145NE, CP-145NF, SF-4580</v>
          </cell>
          <cell r="D116" t="str">
            <v>F-145S</v>
          </cell>
          <cell r="E116" t="str">
            <v>F-145S-228FFGS1R5</v>
          </cell>
        </row>
        <row r="117">
          <cell r="B117" t="str">
            <v>LXH-EA24-120</v>
          </cell>
          <cell r="C117" t="str">
            <v>BF-140N, SF-4580, GB-7GS</v>
          </cell>
          <cell r="D117" t="str">
            <v>F-140S</v>
          </cell>
          <cell r="E117" t="str">
            <v>F-140S-226FFGG1A5</v>
          </cell>
        </row>
        <row r="118">
          <cell r="B118" t="str">
            <v>LXH-EA24-121</v>
          </cell>
          <cell r="C118" t="str">
            <v>BF-145NE, CP-145NF, SF-4580</v>
          </cell>
          <cell r="D118" t="str">
            <v>F-145S</v>
          </cell>
          <cell r="E118" t="str">
            <v>F-145S-224FFGS1R5</v>
          </cell>
        </row>
        <row r="119">
          <cell r="B119" t="str">
            <v>LXH-EA24-122</v>
          </cell>
          <cell r="C119" t="str">
            <v>BF-250N, SF-4573D,GB-7GS</v>
          </cell>
          <cell r="D119" t="str">
            <v>F-250</v>
          </cell>
          <cell r="E119" t="str">
            <v>F-250-466KGGS2R5</v>
          </cell>
        </row>
        <row r="120">
          <cell r="B120" t="str">
            <v>LXH-EA24-123</v>
          </cell>
          <cell r="C120" t="str">
            <v>BF250N,SF-4573D,GB-10GS</v>
          </cell>
          <cell r="D120" t="str">
            <v>F-250</v>
          </cell>
          <cell r="E120" t="str">
            <v>F-250-444KGGG2A5</v>
          </cell>
        </row>
        <row r="121">
          <cell r="B121" t="str">
            <v>LXH-EA24-124</v>
          </cell>
          <cell r="C121" t="str">
            <v>BF-250N,SF-4573D,GB-10GS</v>
          </cell>
          <cell r="D121" t="str">
            <v>F-250</v>
          </cell>
          <cell r="E121" t="str">
            <v>F-250-444KGGS2R5</v>
          </cell>
        </row>
        <row r="122">
          <cell r="B122" t="str">
            <v>LXH-EA24-150</v>
          </cell>
          <cell r="C122" t="str">
            <v>BF-230WN, SF-4573D, GB-65GS</v>
          </cell>
          <cell r="D122" t="str">
            <v>F-230WF</v>
          </cell>
          <cell r="E122" t="str">
            <v>F-230WF-228FFKG1A5</v>
          </cell>
        </row>
        <row r="123">
          <cell r="B123" t="str">
            <v>LXH-EA24-148</v>
          </cell>
          <cell r="C123" t="str">
            <v>BF-230WN, SF-4573D, GB-10GS</v>
          </cell>
          <cell r="D123" t="str">
            <v>F-230WF</v>
          </cell>
          <cell r="E123" t="str">
            <v>F-230WF-224FFGS1R5</v>
          </cell>
        </row>
        <row r="124">
          <cell r="B124" t="str">
            <v>LXH-EA24-146</v>
          </cell>
          <cell r="C124" t="str">
            <v>BF-230WN, SF-4573D, GB-10GS</v>
          </cell>
          <cell r="D124" t="str">
            <v>F-230WF</v>
          </cell>
          <cell r="E124" t="str">
            <v>F-230WF-224FFKG1R5</v>
          </cell>
        </row>
        <row r="125">
          <cell r="B125" t="str">
            <v>LXH-EA24-145</v>
          </cell>
          <cell r="C125" t="str">
            <v>BF-230WN, SF-4573D, GB-65GS</v>
          </cell>
          <cell r="D125" t="str">
            <v>F-230WF</v>
          </cell>
          <cell r="E125" t="str">
            <v>F-230WF-228FFGS1R5</v>
          </cell>
        </row>
        <row r="126">
          <cell r="B126" t="str">
            <v>LXH-EA24-144</v>
          </cell>
          <cell r="C126" t="str">
            <v>BF-265NE, CP-145NF, SF-4580</v>
          </cell>
          <cell r="D126" t="str">
            <v>F-265S</v>
          </cell>
          <cell r="E126" t="str">
            <v>F-265S-422KGGS2A5</v>
          </cell>
        </row>
        <row r="127">
          <cell r="B127" t="str">
            <v>LXH-EA24-143</v>
          </cell>
          <cell r="C127" t="str">
            <v>BF-265NE, CP-145NF, SF-4580</v>
          </cell>
          <cell r="D127" t="str">
            <v>F-265S</v>
          </cell>
          <cell r="E127" t="str">
            <v>F-265S-444KGGG1R5</v>
          </cell>
        </row>
        <row r="128">
          <cell r="B128" t="str">
            <v>LXH-EA24-142</v>
          </cell>
          <cell r="C128" t="str">
            <v>BF-265NE, CP-145NF, SF-4580</v>
          </cell>
          <cell r="D128" t="str">
            <v>F-265S</v>
          </cell>
          <cell r="E128" t="str">
            <v>F-265S-488KGGG2A5</v>
          </cell>
        </row>
        <row r="129">
          <cell r="B129" t="str">
            <v>LXH-EA24-140</v>
          </cell>
          <cell r="C129" t="str">
            <v>BF-265NE, CP-145NF, SF-4580</v>
          </cell>
          <cell r="D129" t="str">
            <v>F-265S</v>
          </cell>
          <cell r="E129" t="str">
            <v>F-265S-444KGGS2R5</v>
          </cell>
        </row>
        <row r="130">
          <cell r="B130" t="str">
            <v>LXH-EA24-139</v>
          </cell>
          <cell r="C130" t="str">
            <v>BF-265NE, CP-145NF, SF-4580</v>
          </cell>
          <cell r="D130" t="str">
            <v>F-265S</v>
          </cell>
          <cell r="E130" t="str">
            <v>F-265S-422GSGS2R5</v>
          </cell>
        </row>
        <row r="131">
          <cell r="B131" t="str">
            <v>LXH-EA24-138</v>
          </cell>
          <cell r="C131" t="str">
            <v>BF-265NE, CP-145NF, SF-4580</v>
          </cell>
          <cell r="D131" t="str">
            <v>F-265S</v>
          </cell>
          <cell r="E131" t="str">
            <v>F-265S-488KGGG1R5</v>
          </cell>
        </row>
        <row r="132">
          <cell r="B132" t="str">
            <v>LXH-EA24-137</v>
          </cell>
          <cell r="C132" t="str">
            <v>BF-265NE, CP-265NB, SF-4580</v>
          </cell>
          <cell r="D132" t="str">
            <v>F-285S</v>
          </cell>
          <cell r="E132" t="str">
            <v>F-285S-466GGGS2A5</v>
          </cell>
        </row>
        <row r="133">
          <cell r="B133" t="str">
            <v>LXH-EA24-135</v>
          </cell>
          <cell r="C133" t="str">
            <v>BF-230WN, SF-4573D, GB-65GS</v>
          </cell>
          <cell r="D133" t="str">
            <v>F-230W</v>
          </cell>
          <cell r="E133" t="str">
            <v>F-230W-228FFGS1A5</v>
          </cell>
        </row>
        <row r="134">
          <cell r="B134" t="str">
            <v>LXH-EA24-133</v>
          </cell>
          <cell r="C134" t="str">
            <v>BF-230WN, SF-4573D, GB-10GS</v>
          </cell>
          <cell r="D134" t="str">
            <v>F-230W</v>
          </cell>
          <cell r="E134" t="str">
            <v>F-230W-224FFKG1A5</v>
          </cell>
        </row>
        <row r="135">
          <cell r="B135" t="str">
            <v>LXH-EA24-132</v>
          </cell>
          <cell r="C135" t="str">
            <v>BF-230WN, SF-4573D, GB-65GS</v>
          </cell>
          <cell r="D135" t="str">
            <v>F-230W</v>
          </cell>
          <cell r="E135" t="str">
            <v>F-230W-228FFKG1A5</v>
          </cell>
        </row>
        <row r="136">
          <cell r="B136" t="str">
            <v>LXH-EA24-131</v>
          </cell>
          <cell r="C136" t="str">
            <v>BF-230WN, SF-4573D, GB-10GS</v>
          </cell>
          <cell r="D136" t="str">
            <v>F-230W</v>
          </cell>
          <cell r="E136" t="str">
            <v>F-230W-224FFGS1R5</v>
          </cell>
        </row>
        <row r="137">
          <cell r="B137" t="str">
            <v>LXH-EA24-130</v>
          </cell>
          <cell r="C137" t="str">
            <v>BF-230WN, SF-4573D, GB-65GS</v>
          </cell>
          <cell r="D137" t="str">
            <v>F-230W</v>
          </cell>
          <cell r="E137" t="str">
            <v>F-230W-228FFGS1R5</v>
          </cell>
        </row>
        <row r="138">
          <cell r="B138" t="str">
            <v>LXH-EA24-129</v>
          </cell>
          <cell r="C138" t="str">
            <v>BF-230WN, SF-4573D, GB-10GS</v>
          </cell>
          <cell r="D138" t="str">
            <v>F-230W</v>
          </cell>
          <cell r="E138" t="str">
            <v>F-230W-224FFKG1R5</v>
          </cell>
        </row>
        <row r="139">
          <cell r="B139" t="str">
            <v>LXH-EA24-151</v>
          </cell>
          <cell r="C139" t="str">
            <v>BF-230WN, SF-4573D, GB-10GS</v>
          </cell>
          <cell r="D139" t="str">
            <v>F-230WF</v>
          </cell>
          <cell r="E139" t="str">
            <v>F-230WF-224FFKG1A5</v>
          </cell>
        </row>
        <row r="140">
          <cell r="B140" t="str">
            <v>LXH-EA24-149</v>
          </cell>
          <cell r="C140" t="str">
            <v>BF-230WN, SF-4573D, GB-10GS</v>
          </cell>
          <cell r="D140" t="str">
            <v>F-230WF</v>
          </cell>
          <cell r="E140" t="str">
            <v>F-230WF-224FFGS1A5</v>
          </cell>
        </row>
        <row r="141">
          <cell r="B141" t="str">
            <v>LXH-EA24-129</v>
          </cell>
          <cell r="C141" t="str">
            <v>BF-230WN, SF-4573D, GB-10GS</v>
          </cell>
          <cell r="D141" t="str">
            <v>F-230WF</v>
          </cell>
          <cell r="E141" t="str">
            <v>F-230WF-228FFGS1A5</v>
          </cell>
        </row>
        <row r="142">
          <cell r="B142" t="str">
            <v>LXH-EA24-147</v>
          </cell>
          <cell r="C142" t="str">
            <v>BF-230WN, SF-4573D, GB-65GS</v>
          </cell>
          <cell r="D142" t="str">
            <v>F-265S</v>
          </cell>
          <cell r="E142" t="str">
            <v>F-265S-444KGGG2A5</v>
          </cell>
        </row>
        <row r="143">
          <cell r="B143" t="str">
            <v>LXH-EA24-134</v>
          </cell>
          <cell r="C143" t="str">
            <v>BF-230WN, SF-4573D, GB-10GS</v>
          </cell>
          <cell r="D143" t="str">
            <v>F-230W</v>
          </cell>
          <cell r="E143" t="str">
            <v>F-230W-224FFGS1A5</v>
          </cell>
        </row>
        <row r="144">
          <cell r="B144" t="str">
            <v>LXH-EA24-174</v>
          </cell>
          <cell r="C144" t="str">
            <v>BF-250N,SF-4573D,GB-65GS</v>
          </cell>
          <cell r="D144" t="str">
            <v>F-250</v>
          </cell>
          <cell r="E144" t="str">
            <v>F-250-488GGGS1R5</v>
          </cell>
        </row>
        <row r="145">
          <cell r="B145" t="str">
            <v>LXH-EA24-173</v>
          </cell>
          <cell r="C145" t="str">
            <v>BF-250N,SF-4580,GB-7GS</v>
          </cell>
          <cell r="D145" t="str">
            <v>F-250S</v>
          </cell>
          <cell r="E145" t="str">
            <v>F-250S-466GGGG2A5</v>
          </cell>
        </row>
        <row r="146">
          <cell r="B146" t="str">
            <v>LXH-EA24-172</v>
          </cell>
          <cell r="C146" t="str">
            <v>BF-250N, SF-4573D, GB-10GS</v>
          </cell>
          <cell r="D146" t="str">
            <v>F-250</v>
          </cell>
          <cell r="E146" t="str">
            <v>F-250-444GGGG2A5</v>
          </cell>
        </row>
        <row r="147">
          <cell r="B147" t="str">
            <v>LXH-EA24-171</v>
          </cell>
          <cell r="C147" t="str">
            <v>BF-250N, SF-4573D, GB-65GS</v>
          </cell>
          <cell r="D147" t="str">
            <v>F-250</v>
          </cell>
          <cell r="E147" t="str">
            <v>F-250-488GGGG2A5</v>
          </cell>
        </row>
        <row r="148">
          <cell r="B148" t="str">
            <v>LXH-EA24-170</v>
          </cell>
          <cell r="C148" t="str">
            <v>BF-250N, SF-4580, GB-10GS</v>
          </cell>
          <cell r="D148" t="str">
            <v>F-250S</v>
          </cell>
          <cell r="E148" t="str">
            <v>F-250S-444GGGG2A5</v>
          </cell>
        </row>
        <row r="149">
          <cell r="B149" t="str">
            <v>LXH-EA24-169</v>
          </cell>
          <cell r="C149" t="str">
            <v>BF-250N, SF-4580, GB-65GS</v>
          </cell>
          <cell r="D149" t="str">
            <v>F-250S</v>
          </cell>
          <cell r="E149" t="str">
            <v>F-250S-488GGGG2A5</v>
          </cell>
        </row>
        <row r="150">
          <cell r="B150" t="str">
            <v>LXH-EA24-168</v>
          </cell>
          <cell r="C150" t="str">
            <v>BF-250N,SF-4573D,GB-7GS</v>
          </cell>
          <cell r="D150" t="str">
            <v>F-250</v>
          </cell>
          <cell r="E150" t="str">
            <v>F-250-466GGGG2A5</v>
          </cell>
        </row>
        <row r="151">
          <cell r="B151" t="str">
            <v>LXH-EA24-167</v>
          </cell>
          <cell r="C151" t="str">
            <v>BF-250N, SF-4580, GB-65GS</v>
          </cell>
          <cell r="D151" t="str">
            <v>F-250S</v>
          </cell>
          <cell r="E151" t="str">
            <v>F-250S-488KGGG1R5</v>
          </cell>
        </row>
        <row r="152">
          <cell r="B152" t="str">
            <v>LXH-EA24-166</v>
          </cell>
          <cell r="C152" t="str">
            <v>BF-250N, SF-4580, GB-65GS</v>
          </cell>
          <cell r="D152" t="str">
            <v>F-250S</v>
          </cell>
          <cell r="E152" t="str">
            <v>F-250S-488GGGS1R5</v>
          </cell>
        </row>
        <row r="153">
          <cell r="B153" t="str">
            <v>LXH-EA24-178</v>
          </cell>
          <cell r="C153" t="str">
            <v>BF-140N, SF-4573D, GB-10GS</v>
          </cell>
          <cell r="D153" t="str">
            <v>F-140</v>
          </cell>
          <cell r="E153" t="str">
            <v>F-140-224FFGG1A5</v>
          </cell>
        </row>
        <row r="154">
          <cell r="B154" t="str">
            <v>LXH-EA24-177</v>
          </cell>
          <cell r="C154" t="str">
            <v>BF-140N, SF-4573D, GB-65GS</v>
          </cell>
          <cell r="D154" t="str">
            <v>F-140</v>
          </cell>
          <cell r="E154" t="str">
            <v>F-140-228FFGG1A5</v>
          </cell>
        </row>
        <row r="155">
          <cell r="B155" t="str">
            <v>LXH-EA24-176</v>
          </cell>
          <cell r="C155" t="str">
            <v>BF-140N, SF-4580, GB-10GS</v>
          </cell>
          <cell r="D155" t="str">
            <v>F-140S</v>
          </cell>
          <cell r="E155" t="str">
            <v>F-140S-224FFGG1A5</v>
          </cell>
        </row>
        <row r="156">
          <cell r="B156" t="str">
            <v>LXH-EA24-175</v>
          </cell>
          <cell r="C156" t="str">
            <v>BF-140N,SF-4580,GB-65GS</v>
          </cell>
          <cell r="D156" t="str">
            <v>F-140S</v>
          </cell>
          <cell r="E156" t="str">
            <v>F-140S-228FFGG1A5</v>
          </cell>
        </row>
        <row r="157">
          <cell r="B157" t="str">
            <v>LXH-EA24-179</v>
          </cell>
          <cell r="C157" t="str">
            <v>BF-250N,SF-4573D,GB-65GS</v>
          </cell>
          <cell r="D157" t="str">
            <v>F-250</v>
          </cell>
          <cell r="E157" t="str">
            <v>F-250-488KGGG1R5</v>
          </cell>
        </row>
        <row r="158">
          <cell r="B158" t="str">
            <v>LXH-EA24-186</v>
          </cell>
          <cell r="C158" t="str">
            <v>BF-145NE, CP-145NF, SF-4580</v>
          </cell>
          <cell r="D158" t="str">
            <v>F-145S</v>
          </cell>
          <cell r="E158" t="str">
            <v>F-145S-224FFGG1A5</v>
          </cell>
        </row>
        <row r="159">
          <cell r="B159" t="str">
            <v>LXH-EA24-185</v>
          </cell>
          <cell r="C159" t="str">
            <v>BF-145NE, CP-145NF, SF-4580</v>
          </cell>
          <cell r="D159" t="str">
            <v>F-145S</v>
          </cell>
          <cell r="E159" t="str">
            <v>F-145S-228FFKG1A5</v>
          </cell>
        </row>
        <row r="160">
          <cell r="B160" t="str">
            <v>LXH-EA24-184</v>
          </cell>
          <cell r="C160" t="str">
            <v>BF-145NE, CP-145NF, SF-4580</v>
          </cell>
          <cell r="D160" t="str">
            <v>F-145S</v>
          </cell>
          <cell r="E160" t="str">
            <v>F-145S-228FFGG1A5</v>
          </cell>
        </row>
        <row r="161">
          <cell r="B161" t="str">
            <v>LXH-EA24-183</v>
          </cell>
          <cell r="C161" t="str">
            <v>BF-145NE, CP-145NF, SF-4580</v>
          </cell>
          <cell r="D161" t="str">
            <v>F-145S</v>
          </cell>
          <cell r="E161" t="str">
            <v>F-145S-224FFGS1A5</v>
          </cell>
        </row>
        <row r="162">
          <cell r="B162" t="str">
            <v>LXH-EA24-182</v>
          </cell>
          <cell r="C162" t="str">
            <v>BF-145NE, CP-145NF, SF-4580</v>
          </cell>
          <cell r="D162" t="str">
            <v>F-145S</v>
          </cell>
          <cell r="E162" t="str">
            <v>F-145S-224FFKG1A5</v>
          </cell>
        </row>
        <row r="163">
          <cell r="B163" t="str">
            <v>LXH-EA24-181</v>
          </cell>
          <cell r="C163" t="str">
            <v>BF-145NE, SF-4573D, GB-10GS</v>
          </cell>
          <cell r="D163" t="str">
            <v>F-145</v>
          </cell>
          <cell r="E163" t="str">
            <v>F-145-224FFGG1A5</v>
          </cell>
        </row>
        <row r="164">
          <cell r="B164" t="str">
            <v>LXH-EA24-180</v>
          </cell>
          <cell r="C164" t="str">
            <v>BF-145NE, SF-4573D, GB-65GS</v>
          </cell>
          <cell r="D164" t="str">
            <v>F-145</v>
          </cell>
          <cell r="E164" t="str">
            <v>F-145-228FFGG1A5</v>
          </cell>
        </row>
        <row r="165">
          <cell r="B165" t="str">
            <v>LXH-EA24-155</v>
          </cell>
          <cell r="C165" t="str">
            <v>BF-265NE, CP-145NF, SF-4580</v>
          </cell>
          <cell r="D165" t="str">
            <v>F-265S</v>
          </cell>
          <cell r="E165" t="str">
            <v>F-265S-444GGGS1R5</v>
          </cell>
        </row>
        <row r="166">
          <cell r="B166" t="str">
            <v>LXH-EA24-154</v>
          </cell>
          <cell r="C166" t="str">
            <v>BF-265NE, CP-145NF, SF-4580</v>
          </cell>
          <cell r="D166" t="str">
            <v>F-265S</v>
          </cell>
          <cell r="E166" t="str">
            <v>F-265S-488GGGS2A5</v>
          </cell>
        </row>
        <row r="167">
          <cell r="B167" t="str">
            <v>LXH-EA24-153</v>
          </cell>
          <cell r="C167" t="str">
            <v>BF-265NE, CP-145NF, SF-4580</v>
          </cell>
          <cell r="D167" t="str">
            <v>F-265S</v>
          </cell>
          <cell r="E167" t="str">
            <v>F-265S-488GGGS1R5</v>
          </cell>
        </row>
        <row r="168">
          <cell r="B168" t="str">
            <v>LXH-EA24-152</v>
          </cell>
          <cell r="C168" t="str">
            <v>BF-265NE, CP-145NF, SF-4580</v>
          </cell>
          <cell r="D168" t="str">
            <v>F-265S</v>
          </cell>
          <cell r="E168" t="str">
            <v>F-265S-444GGGS2A5</v>
          </cell>
        </row>
        <row r="169">
          <cell r="B169" t="str">
            <v>LXH-EA24-161</v>
          </cell>
          <cell r="C169" t="str">
            <v>BF-145NE, SF-4573D, GB-10GS</v>
          </cell>
          <cell r="D169" t="str">
            <v>F-145</v>
          </cell>
          <cell r="E169" t="str">
            <v>F-145-224FFKG1R5</v>
          </cell>
        </row>
        <row r="170">
          <cell r="B170" t="str">
            <v>LXH-EA24-160</v>
          </cell>
          <cell r="C170" t="str">
            <v>BF-145NE, SF-4573D, GB-65GS</v>
          </cell>
          <cell r="D170" t="str">
            <v>F-145</v>
          </cell>
          <cell r="E170" t="str">
            <v>F-145-228FFGS1A5</v>
          </cell>
        </row>
        <row r="171">
          <cell r="B171" t="str">
            <v>LXH-EA24-001</v>
          </cell>
          <cell r="C171" t="str">
            <v>FM-140W, TD-140W</v>
          </cell>
          <cell r="D171" t="str">
            <v>F-TD140</v>
          </cell>
          <cell r="E171" t="str">
            <v>F-TD140-224FFUG1R5</v>
          </cell>
        </row>
        <row r="172">
          <cell r="B172" t="str">
            <v>LXH-EA23-008</v>
          </cell>
          <cell r="C172" t="str">
            <v>FM-140W, TD-140W</v>
          </cell>
          <cell r="D172" t="str">
            <v>F-TD140</v>
          </cell>
          <cell r="E172" t="str">
            <v>F-TD140-224FFGS1R5</v>
          </cell>
        </row>
        <row r="173">
          <cell r="B173" t="str">
            <v>LXH-EA24-217</v>
          </cell>
          <cell r="C173" t="str">
            <v>BF-250N, SF-4573D, GB-7GS</v>
          </cell>
          <cell r="D173" t="str">
            <v>F-250</v>
          </cell>
          <cell r="E173" t="str">
            <v>F-250-466GSGG2A5</v>
          </cell>
        </row>
        <row r="174">
          <cell r="B174" t="str">
            <v>LXH-EA24-216</v>
          </cell>
          <cell r="C174" t="str">
            <v>BF-250N, SF-4573D, GB-7GS</v>
          </cell>
          <cell r="D174" t="str">
            <v>F-250</v>
          </cell>
          <cell r="E174" t="str">
            <v>F-250-466GSGG1R5</v>
          </cell>
        </row>
        <row r="175">
          <cell r="B175" t="str">
            <v>LXH-EA24-215</v>
          </cell>
          <cell r="C175" t="str">
            <v>BF-250N, SF-4573D</v>
          </cell>
          <cell r="D175" t="str">
            <v>F-250</v>
          </cell>
          <cell r="E175" t="str">
            <v>F-250-466UGGG2A5</v>
          </cell>
        </row>
        <row r="176">
          <cell r="B176" t="str">
            <v>LXH-EA24-214</v>
          </cell>
          <cell r="C176" t="str">
            <v>BF-250N, SF-4573D</v>
          </cell>
          <cell r="D176" t="str">
            <v>F-250GH</v>
          </cell>
          <cell r="E176" t="str">
            <v>F-250GH-8566MGGS1R5</v>
          </cell>
        </row>
        <row r="177">
          <cell r="B177" t="str">
            <v>LXH-EA24-213</v>
          </cell>
          <cell r="C177" t="str">
            <v>BF-, SF-4573D</v>
          </cell>
          <cell r="D177" t="str">
            <v>F-140GH</v>
          </cell>
          <cell r="E177" t="str">
            <v>F-140GH-7526MSGS1A5</v>
          </cell>
        </row>
        <row r="178">
          <cell r="B178" t="str">
            <v>LXH-EA24-212</v>
          </cell>
          <cell r="C178" t="str">
            <v>BF-140N, SF-4573D</v>
          </cell>
          <cell r="D178" t="str">
            <v>F-140GH</v>
          </cell>
          <cell r="E178" t="str">
            <v>F-140GH-7526MSGS1R5</v>
          </cell>
        </row>
        <row r="179">
          <cell r="B179" t="str">
            <v>LXH-EA24-211</v>
          </cell>
          <cell r="C179" t="str">
            <v>BF-140N, SF-4573D</v>
          </cell>
          <cell r="D179" t="str">
            <v>F-140GH</v>
          </cell>
          <cell r="E179" t="str">
            <v>F-140GH-7526KMKG1R5</v>
          </cell>
        </row>
        <row r="180">
          <cell r="B180" t="str">
            <v>LXH-EA24-210</v>
          </cell>
          <cell r="C180" t="str">
            <v>BF-250N, SF-4573D</v>
          </cell>
          <cell r="D180" t="str">
            <v>F-250GH</v>
          </cell>
          <cell r="E180" t="str">
            <v>F-250GH-8566KGGG2A5</v>
          </cell>
        </row>
        <row r="181">
          <cell r="B181" t="str">
            <v>LXH-EA24-209</v>
          </cell>
          <cell r="C181" t="str">
            <v>BF-250N, SF-4573D</v>
          </cell>
          <cell r="D181" t="str">
            <v>F-250GH</v>
          </cell>
          <cell r="E181" t="str">
            <v>F-250GH-8566MGGS2A5</v>
          </cell>
        </row>
        <row r="182">
          <cell r="B182" t="str">
            <v>LXH-EA24-208</v>
          </cell>
          <cell r="C182" t="str">
            <v>BF-140N, SF-4573D</v>
          </cell>
          <cell r="D182" t="str">
            <v>F-140GH</v>
          </cell>
          <cell r="E182" t="str">
            <v>F-140GH-7526KMKG1A5</v>
          </cell>
        </row>
        <row r="183">
          <cell r="B183" t="str">
            <v>LXH-EA24-207</v>
          </cell>
          <cell r="C183" t="str">
            <v>BF-250N, SF-4573D</v>
          </cell>
          <cell r="D183" t="str">
            <v>F-250GH</v>
          </cell>
          <cell r="E183" t="str">
            <v>F-250GH-8566KGGG1R5</v>
          </cell>
        </row>
        <row r="184">
          <cell r="B184" t="str">
            <v>LXH-EA24-206</v>
          </cell>
          <cell r="C184" t="str">
            <v>BF-265NE, SF-4573D</v>
          </cell>
          <cell r="D184" t="str">
            <v>F-265GH</v>
          </cell>
          <cell r="E184" t="str">
            <v>F-265GH-8566MGGS2A5</v>
          </cell>
        </row>
        <row r="185">
          <cell r="B185" t="str">
            <v>LXH-EA24-205</v>
          </cell>
          <cell r="C185" t="str">
            <v>BF-265NE, SF-4573D</v>
          </cell>
          <cell r="D185" t="str">
            <v>F-265GH</v>
          </cell>
          <cell r="E185" t="str">
            <v>F-265GH-8566MGGS1R5</v>
          </cell>
        </row>
        <row r="186">
          <cell r="B186" t="str">
            <v>LXH-EA24-204</v>
          </cell>
          <cell r="C186" t="str">
            <v>BF-265NE, SF-4573D</v>
          </cell>
          <cell r="D186" t="str">
            <v>F-265GH</v>
          </cell>
          <cell r="E186" t="str">
            <v>F-265GH-8566KGGG2A5</v>
          </cell>
        </row>
        <row r="187">
          <cell r="B187" t="str">
            <v>LXH-EA24-203</v>
          </cell>
          <cell r="C187" t="str">
            <v>BF-265NE, SF-4573D</v>
          </cell>
          <cell r="D187" t="str">
            <v>F-265GH</v>
          </cell>
          <cell r="E187" t="str">
            <v>F-265GH-8566KGGG1R5</v>
          </cell>
        </row>
        <row r="188">
          <cell r="B188" t="str">
            <v>LXH-EA24-202</v>
          </cell>
          <cell r="C188" t="str">
            <v>BF-265NE, SF-4573D</v>
          </cell>
          <cell r="D188" t="str">
            <v>F-285GH</v>
          </cell>
          <cell r="E188" t="str">
            <v>F-285GH-8566KGGG1R5</v>
          </cell>
        </row>
        <row r="189">
          <cell r="B189" t="str">
            <v>LXH-EA24-201</v>
          </cell>
          <cell r="C189" t="str">
            <v>BF-250N, SF-4580, GB-91P</v>
          </cell>
          <cell r="D189" t="str">
            <v>F-250SGHR</v>
          </cell>
          <cell r="E189" t="str">
            <v>F-250SGHR-8322MLGL2A5</v>
          </cell>
        </row>
        <row r="190">
          <cell r="B190" t="str">
            <v>LXH-EA24-200</v>
          </cell>
          <cell r="C190" t="str">
            <v>BF-265NE, CP-145NF, SF-4580</v>
          </cell>
          <cell r="D190" t="str">
            <v>F-265S</v>
          </cell>
          <cell r="E190" t="str">
            <v>F-265S-488GGGG2A5</v>
          </cell>
        </row>
        <row r="191">
          <cell r="B191" t="str">
            <v>LXH-EA24-199</v>
          </cell>
          <cell r="C191" t="str">
            <v>BF-265NE, CP-145NF, SF-4580</v>
          </cell>
          <cell r="D191" t="str">
            <v>F-265S</v>
          </cell>
          <cell r="E191" t="str">
            <v>F-265S-444GGGG2A5</v>
          </cell>
        </row>
        <row r="192">
          <cell r="B192" t="str">
            <v>LXH-EA24-198</v>
          </cell>
          <cell r="C192" t="str">
            <v>BF-265NE, CP-145NF, SF-4580</v>
          </cell>
          <cell r="D192" t="str">
            <v>F-265S</v>
          </cell>
          <cell r="E192" t="str">
            <v>F-265S-466GGGG2A5</v>
          </cell>
        </row>
        <row r="193">
          <cell r="B193" t="str">
            <v>LXH-EA24-197</v>
          </cell>
          <cell r="C193" t="str">
            <v>BF-265NE, CP-265NB, SF-4573D</v>
          </cell>
          <cell r="D193" t="str">
            <v>F-285</v>
          </cell>
          <cell r="E193" t="str">
            <v>F-285-444GGGS2A5</v>
          </cell>
        </row>
        <row r="194">
          <cell r="B194" t="str">
            <v>LXH-EA24-196</v>
          </cell>
          <cell r="C194" t="str">
            <v>BF-265NE, CP-265NB, SF-4573D</v>
          </cell>
          <cell r="D194" t="str">
            <v>F-285</v>
          </cell>
          <cell r="E194" t="str">
            <v>F-285-444GGGG2A5</v>
          </cell>
        </row>
        <row r="195">
          <cell r="B195" t="str">
            <v>LXH-EA24-195</v>
          </cell>
          <cell r="C195" t="str">
            <v>BF-265NE, CP-265NB, SF-4573D</v>
          </cell>
          <cell r="D195" t="str">
            <v>F-285</v>
          </cell>
          <cell r="E195" t="str">
            <v>F-285-444GGGS1R5</v>
          </cell>
        </row>
        <row r="196">
          <cell r="B196" t="str">
            <v>LXH-EA24-194</v>
          </cell>
          <cell r="C196" t="str">
            <v>BF-265NE, CP-265NB, SF-4573D</v>
          </cell>
          <cell r="D196" t="str">
            <v>F-285</v>
          </cell>
          <cell r="E196" t="str">
            <v>F-285-466GGGG2A5</v>
          </cell>
        </row>
        <row r="197">
          <cell r="B197" t="str">
            <v>LXH-EA24-193</v>
          </cell>
          <cell r="C197" t="str">
            <v>BF-265NE, CP-265NB, SF-4573D</v>
          </cell>
          <cell r="D197" t="str">
            <v>F-285</v>
          </cell>
          <cell r="E197" t="str">
            <v>F-285-488GGGG2A5</v>
          </cell>
        </row>
        <row r="198">
          <cell r="B198" t="str">
            <v>LXH-EA24-192</v>
          </cell>
          <cell r="C198" t="str">
            <v>BF-265NE, SF-4573D, GB-10GS</v>
          </cell>
          <cell r="D198" t="str">
            <v>F-265</v>
          </cell>
          <cell r="E198" t="str">
            <v>F-265-444GGGG2A5</v>
          </cell>
        </row>
        <row r="199">
          <cell r="B199" t="str">
            <v>LXH-EA24-191</v>
          </cell>
          <cell r="C199" t="str">
            <v>BF-265NE, SF-4573D, GB-7GS</v>
          </cell>
          <cell r="D199" t="str">
            <v>F-265</v>
          </cell>
          <cell r="E199" t="str">
            <v>F-265-466GGGG2A5</v>
          </cell>
        </row>
        <row r="200">
          <cell r="B200" t="str">
            <v>LXH-EA24-190</v>
          </cell>
          <cell r="C200" t="str">
            <v>BF-265NE, SF-4573D, GB-10GS</v>
          </cell>
          <cell r="D200" t="str">
            <v>F-265</v>
          </cell>
          <cell r="E200" t="str">
            <v>F-265-444GGGS1R5</v>
          </cell>
        </row>
        <row r="201">
          <cell r="B201" t="str">
            <v>LXH-EA24-189</v>
          </cell>
          <cell r="C201" t="str">
            <v>BF-265NE, SF-4573D, GB-65GS</v>
          </cell>
          <cell r="D201" t="str">
            <v>F-265</v>
          </cell>
          <cell r="E201" t="str">
            <v>F-265-488GGGG2A5</v>
          </cell>
        </row>
        <row r="202">
          <cell r="B202" t="str">
            <v>LXH-EA24-188</v>
          </cell>
          <cell r="C202" t="str">
            <v>BF-265NE, SF-4573D, GB-10GS</v>
          </cell>
          <cell r="D202" t="str">
            <v>F-265</v>
          </cell>
          <cell r="E202" t="str">
            <v>F-265-444GGGS2A5</v>
          </cell>
        </row>
        <row r="203">
          <cell r="B203" t="str">
            <v>LXH-EA24-164</v>
          </cell>
          <cell r="C203" t="str">
            <v>BF-145NE, CP-145NF, SF-4580</v>
          </cell>
          <cell r="D203" t="str">
            <v>F-145S</v>
          </cell>
          <cell r="E203" t="str">
            <v>F-145S-224FFKG1R5</v>
          </cell>
        </row>
        <row r="204">
          <cell r="B204" t="str">
            <v>LXH-EA24-163</v>
          </cell>
          <cell r="C204" t="str">
            <v>BF-145NE, CP-145NF, SF-4580</v>
          </cell>
          <cell r="D204" t="str">
            <v>F-145S</v>
          </cell>
          <cell r="E204" t="str">
            <v>F-145S-226FFGG1A5</v>
          </cell>
        </row>
        <row r="205">
          <cell r="B205" t="str">
            <v>LXH-EA24-162</v>
          </cell>
          <cell r="C205" t="str">
            <v>BF-145NE, CP-145NF, SF-4580</v>
          </cell>
          <cell r="D205" t="str">
            <v>F-145S</v>
          </cell>
          <cell r="E205" t="str">
            <v>F-145S-228FFGS1A5</v>
          </cell>
        </row>
        <row r="206">
          <cell r="B206" t="str">
            <v>LXH-EA24-159</v>
          </cell>
          <cell r="C206" t="str">
            <v>BF-145NE, SF-4573D, GB-10GS</v>
          </cell>
          <cell r="D206" t="str">
            <v>F-145</v>
          </cell>
          <cell r="E206" t="str">
            <v>F-145-224FFGS1A5</v>
          </cell>
        </row>
        <row r="207">
          <cell r="B207" t="str">
            <v>LXH-EA24-158</v>
          </cell>
          <cell r="C207" t="str">
            <v>BF-145NE, SF-4573D, GB-10GS</v>
          </cell>
          <cell r="D207" t="str">
            <v>F-145</v>
          </cell>
          <cell r="E207" t="str">
            <v>F-145-224FFKG1A5</v>
          </cell>
        </row>
        <row r="208">
          <cell r="B208" t="str">
            <v>LXH-EA24-157</v>
          </cell>
          <cell r="C208" t="str">
            <v>BF-145NE, SF-4573D, GB-65GS</v>
          </cell>
          <cell r="D208" t="str">
            <v>F-145</v>
          </cell>
          <cell r="E208" t="str">
            <v>F-145-228FFKG1A5</v>
          </cell>
        </row>
        <row r="209">
          <cell r="B209" t="str">
            <v>LXH-EA24-156</v>
          </cell>
          <cell r="C209" t="str">
            <v>BF-145NE, SF-4573D, GB-7GS</v>
          </cell>
          <cell r="D209" t="str">
            <v>F-145</v>
          </cell>
          <cell r="E209" t="str">
            <v>F-145-226FFGG1A5</v>
          </cell>
        </row>
        <row r="210">
          <cell r="B210" t="str">
            <v>LXH-EA24-136</v>
          </cell>
          <cell r="C210" t="str">
            <v>BF-265NE, CP-143F, SF-4580</v>
          </cell>
          <cell r="D210" t="str">
            <v>F-265S</v>
          </cell>
          <cell r="E210" t="str">
            <v>F-265S-466GGGS2A5</v>
          </cell>
        </row>
        <row r="211">
          <cell r="B211" t="str">
            <v>ECL-TR-24-0417</v>
          </cell>
          <cell r="D211" t="str">
            <v>F-250S</v>
          </cell>
          <cell r="E211" t="str">
            <v>에너지공단 미 등록으로 사용불가</v>
          </cell>
        </row>
        <row r="212">
          <cell r="B212" t="str">
            <v>LXH-EA24-221</v>
          </cell>
          <cell r="C212" t="str">
            <v>BF-145NE, SF-4573D</v>
          </cell>
          <cell r="D212" t="str">
            <v>F-145GH</v>
          </cell>
          <cell r="E212" t="str">
            <v>F-145GH-7526MSGS1A5</v>
          </cell>
        </row>
        <row r="213">
          <cell r="B213" t="str">
            <v>LXH-EA24-220</v>
          </cell>
          <cell r="C213" t="str">
            <v>BF-145NE, SF-4573D</v>
          </cell>
          <cell r="D213" t="str">
            <v>F-145GH</v>
          </cell>
          <cell r="E213" t="str">
            <v>F-145GH-7526MLGL1R5</v>
          </cell>
        </row>
        <row r="214">
          <cell r="B214" t="str">
            <v>LXH-EA24-219</v>
          </cell>
          <cell r="C214" t="str">
            <v>BF-145NE, SF-4573D</v>
          </cell>
          <cell r="D214" t="str">
            <v>F-145GH</v>
          </cell>
          <cell r="E214" t="str">
            <v>F-145GH-7526MSGS1R5</v>
          </cell>
        </row>
        <row r="215">
          <cell r="B215" t="str">
            <v>LXH-EA24-218</v>
          </cell>
          <cell r="C215" t="str">
            <v>BF-145NE, SF-4573D</v>
          </cell>
          <cell r="D215" t="str">
            <v>F-145GH</v>
          </cell>
          <cell r="E215" t="str">
            <v>F-145GH-7526MLGL1A5</v>
          </cell>
        </row>
        <row r="216">
          <cell r="B216" t="str">
            <v>LXH-EA24-222</v>
          </cell>
          <cell r="C216" t="str">
            <v>BF-140N, SF-4573D</v>
          </cell>
          <cell r="D216" t="str">
            <v>F-140</v>
          </cell>
          <cell r="E216" t="str">
            <v>F-140-226FFUG1A5</v>
          </cell>
        </row>
        <row r="217">
          <cell r="B217" t="str">
            <v>LXH-EA24-223</v>
          </cell>
          <cell r="C217" t="str">
            <v>BF-250N, SF-4573D</v>
          </cell>
          <cell r="D217" t="str">
            <v>F-250</v>
          </cell>
          <cell r="E217" t="str">
            <v>F-250-488KGGG2A5</v>
          </cell>
        </row>
        <row r="218">
          <cell r="B218" t="str">
            <v>LXH-EA24-224</v>
          </cell>
          <cell r="C218" t="str">
            <v>BF-140N, SF-4573D</v>
          </cell>
          <cell r="D218" t="str">
            <v>F-140</v>
          </cell>
          <cell r="E218" t="str">
            <v>F-140-226FFGL1R5-1</v>
          </cell>
        </row>
        <row r="219">
          <cell r="B219" t="str">
            <v>LXH-EA24-225</v>
          </cell>
          <cell r="C219" t="str">
            <v>BF-250N, SF-4573D</v>
          </cell>
          <cell r="D219" t="str">
            <v>F-250</v>
          </cell>
          <cell r="E219" t="str">
            <v>F-250-466GGGL1R5-1</v>
          </cell>
        </row>
        <row r="220">
          <cell r="B220" t="str">
            <v>LXH-EA24-226</v>
          </cell>
          <cell r="C220" t="str">
            <v>BF-145NE, SF-4573D</v>
          </cell>
          <cell r="D220" t="str">
            <v>F-145</v>
          </cell>
          <cell r="E220" t="str">
            <v>F-145-226FFGL1R5-1</v>
          </cell>
        </row>
        <row r="221">
          <cell r="B221" t="str">
            <v>LXH-EA24-229</v>
          </cell>
          <cell r="C221" t="str">
            <v>BF-265NE, SF-4573D</v>
          </cell>
          <cell r="D221" t="str">
            <v>F-285</v>
          </cell>
          <cell r="E221" t="str">
            <v>F-285-466GGGL1R5-1</v>
          </cell>
        </row>
        <row r="222">
          <cell r="B222" t="str">
            <v>LXH-EA24-230</v>
          </cell>
          <cell r="C222" t="str">
            <v>BF-265NE</v>
          </cell>
          <cell r="D222" t="str">
            <v>F-265</v>
          </cell>
          <cell r="E222" t="str">
            <v>F-265-466GGGL1R5-1</v>
          </cell>
        </row>
        <row r="223">
          <cell r="B223" t="str">
            <v>LXH-EA24-238</v>
          </cell>
          <cell r="C223" t="str">
            <v>BF-250NI, SF-4573, MC-4573</v>
          </cell>
          <cell r="D223" t="str">
            <v>F-250I</v>
          </cell>
          <cell r="E223" t="str">
            <v>F-250I-466KGKG2A5</v>
          </cell>
        </row>
        <row r="224">
          <cell r="B224" t="str">
            <v>LXH-EA24-237</v>
          </cell>
          <cell r="C224" t="str">
            <v>BF-130NI, SF-4573, MC-4573</v>
          </cell>
          <cell r="D224" t="str">
            <v>F-250I</v>
          </cell>
          <cell r="E224" t="str">
            <v>F-250I-466GGGG2A5</v>
          </cell>
        </row>
        <row r="225">
          <cell r="B225" t="str">
            <v>LXH-EA24-236</v>
          </cell>
          <cell r="C225" t="str">
            <v>BF-250NI, SF-4573, MC-4573</v>
          </cell>
          <cell r="D225" t="str">
            <v>F-250I</v>
          </cell>
          <cell r="E225" t="str">
            <v>F-250I-466GGKG2A5</v>
          </cell>
        </row>
        <row r="226">
          <cell r="B226" t="str">
            <v>LXH-EA24-235</v>
          </cell>
          <cell r="C226" t="str">
            <v>BF-250NI, SF-4573, MC-4573, CP</v>
          </cell>
          <cell r="D226" t="str">
            <v>F-270I</v>
          </cell>
          <cell r="E226" t="str">
            <v>F-270I-466GGKG2A5</v>
          </cell>
        </row>
        <row r="227">
          <cell r="B227" t="str">
            <v>LXH-EA24-234</v>
          </cell>
          <cell r="C227" t="str">
            <v>BF-250NI, SF-4573, MC-4573, CP</v>
          </cell>
          <cell r="D227" t="str">
            <v>F-270I</v>
          </cell>
          <cell r="E227" t="str">
            <v>F-270I-466KGKG2A5</v>
          </cell>
        </row>
        <row r="228">
          <cell r="B228" t="str">
            <v>LXH-EA24-233</v>
          </cell>
          <cell r="C228" t="str">
            <v>BF-250NI, SF-4573, MC-4573, CP</v>
          </cell>
          <cell r="D228" t="str">
            <v>F-270I</v>
          </cell>
          <cell r="E228" t="str">
            <v>F-270I-466KGGG2A5</v>
          </cell>
        </row>
        <row r="229">
          <cell r="B229" t="str">
            <v>LXH-EA24-232</v>
          </cell>
          <cell r="C229" t="str">
            <v>BF-250NI, SF-4573, MC-4573, CP</v>
          </cell>
          <cell r="D229" t="str">
            <v>F-270I</v>
          </cell>
          <cell r="E229" t="str">
            <v>F-270I-466GGGG2A5</v>
          </cell>
        </row>
        <row r="230">
          <cell r="B230" t="str">
            <v>LXH-EA24-231</v>
          </cell>
          <cell r="C230" t="str">
            <v>BF-250NI, SF-4573, MC-4573</v>
          </cell>
          <cell r="D230" t="str">
            <v>F-250I</v>
          </cell>
          <cell r="E230" t="str">
            <v>F-250I-466KGGG2A5</v>
          </cell>
        </row>
        <row r="231">
          <cell r="B231" t="str">
            <v>LXH-EA24-228</v>
          </cell>
          <cell r="C231" t="str">
            <v>BF-130NI, SF-4573, MC-4573</v>
          </cell>
          <cell r="D231" t="str">
            <v>F-130I</v>
          </cell>
          <cell r="E231" t="str">
            <v>F-130I-226FFGG1A5</v>
          </cell>
        </row>
        <row r="232">
          <cell r="B232" t="str">
            <v>LXH-EA24-227</v>
          </cell>
          <cell r="C232" t="str">
            <v>BF-130NI, SF-4573, MC-4573</v>
          </cell>
          <cell r="D232" t="str">
            <v>F-130I</v>
          </cell>
          <cell r="E232" t="str">
            <v>F-130I-226FFKG1A5</v>
          </cell>
        </row>
        <row r="233">
          <cell r="B233" t="str">
            <v>LXH-EA25-001</v>
          </cell>
          <cell r="C233" t="str">
            <v>BF-130NI, SF-4573N, MC-4573N</v>
          </cell>
          <cell r="D233" t="str">
            <v>F-130I</v>
          </cell>
          <cell r="E233" t="str">
            <v>F-130I-224FFGS1R5</v>
          </cell>
        </row>
        <row r="234">
          <cell r="B234" t="str">
            <v>LXH-EA25-002</v>
          </cell>
          <cell r="C234" t="str">
            <v>BF-130NI, SF-4573N, MC-4573N</v>
          </cell>
          <cell r="D234" t="str">
            <v>F-130I</v>
          </cell>
          <cell r="E234" t="str">
            <v>F-130I-224FFKG1R5</v>
          </cell>
        </row>
        <row r="235">
          <cell r="B235" t="str">
            <v>LXH-EA25-003</v>
          </cell>
          <cell r="C235" t="str">
            <v>BF-130NI, SF-4573N, MC-4573N</v>
          </cell>
          <cell r="D235" t="str">
            <v>F-130I</v>
          </cell>
          <cell r="E235" t="str">
            <v>F-130I-226FFGS1A5</v>
          </cell>
        </row>
        <row r="236">
          <cell r="B236" t="str">
            <v>LXH-EA25-004</v>
          </cell>
          <cell r="C236" t="str">
            <v>BF-130NI, SF-4573N, MC-4573N</v>
          </cell>
          <cell r="D236" t="str">
            <v>F-130I</v>
          </cell>
          <cell r="E236" t="str">
            <v>F-130I-226FFGS1R5</v>
          </cell>
        </row>
        <row r="237">
          <cell r="B237" t="str">
            <v>LXH-EA25-005</v>
          </cell>
          <cell r="C237" t="str">
            <v>BF-130NI, SF-4573N, MC-4573N</v>
          </cell>
          <cell r="D237" t="str">
            <v>F-130I</v>
          </cell>
          <cell r="E237" t="str">
            <v>F-130I-226FFKG1R5</v>
          </cell>
        </row>
        <row r="238">
          <cell r="B238" t="str">
            <v>LXH-EA25-006</v>
          </cell>
          <cell r="C238" t="str">
            <v>BF-130NI, SF-4573N, MC-4573N</v>
          </cell>
          <cell r="D238" t="str">
            <v>F-130I</v>
          </cell>
          <cell r="E238" t="str">
            <v>F-130I-224FFGG1A5</v>
          </cell>
        </row>
        <row r="239">
          <cell r="B239" t="str">
            <v>LXH-EA25-007</v>
          </cell>
          <cell r="C239" t="str">
            <v>BF-130NI, SF-4573N, MC-4573N</v>
          </cell>
          <cell r="D239" t="str">
            <v>F-130I</v>
          </cell>
          <cell r="E239" t="str">
            <v>F-130I-224FFGS1A5</v>
          </cell>
        </row>
        <row r="240">
          <cell r="B240" t="str">
            <v>LXH-EA25-008</v>
          </cell>
          <cell r="C240" t="str">
            <v>BF-250NI, SF-4573N, MC-4573N</v>
          </cell>
          <cell r="D240" t="str">
            <v>F-250I</v>
          </cell>
          <cell r="E240" t="str">
            <v>F-250I-444GGGS2A5</v>
          </cell>
        </row>
        <row r="241">
          <cell r="B241" t="str">
            <v>LXH-EA25-009</v>
          </cell>
          <cell r="C241" t="str">
            <v>BF-250NI, SF-4573N, MC-4573N</v>
          </cell>
          <cell r="D241" t="str">
            <v>F-250I</v>
          </cell>
          <cell r="E241" t="str">
            <v>F-250I-466GGGS2A5</v>
          </cell>
        </row>
        <row r="242">
          <cell r="B242" t="str">
            <v>LXH-EA25-010</v>
          </cell>
          <cell r="C242" t="str">
            <v>BF-250NI, CP-265NB, SF-4573N, MC</v>
          </cell>
          <cell r="D242" t="str">
            <v>F-270I</v>
          </cell>
          <cell r="E242" t="str">
            <v>F-270I-444KGGG2A5</v>
          </cell>
        </row>
        <row r="243">
          <cell r="B243" t="str">
            <v>LXH-EA25-011</v>
          </cell>
          <cell r="C243" t="str">
            <v>BF-250NI, CP-265NB, SF-4573N, MC</v>
          </cell>
          <cell r="D243" t="str">
            <v>F-270I</v>
          </cell>
          <cell r="E243" t="str">
            <v>F-270I-444KGGG1R5</v>
          </cell>
        </row>
        <row r="244">
          <cell r="B244" t="str">
            <v>LXH-EA25-012</v>
          </cell>
          <cell r="C244" t="str">
            <v>BF-250NI, SF-4573N, MC-4573N</v>
          </cell>
          <cell r="D244" t="str">
            <v>F-250I</v>
          </cell>
          <cell r="E244" t="str">
            <v>F-250I-444GGGG2A5</v>
          </cell>
        </row>
        <row r="245">
          <cell r="B245" t="str">
            <v>LXH-EA25-013</v>
          </cell>
          <cell r="C245" t="str">
            <v>BF-250NI, SF-4573N, MC-4573N</v>
          </cell>
          <cell r="D245" t="str">
            <v>F-250I</v>
          </cell>
          <cell r="E245" t="str">
            <v>F-250I-444GGGS1R5</v>
          </cell>
        </row>
        <row r="246">
          <cell r="B246" t="str">
            <v>LXH-EA25-014</v>
          </cell>
          <cell r="C246" t="str">
            <v>BF-250NI, SF-4573N, MC-4573N</v>
          </cell>
          <cell r="D246" t="str">
            <v>F-250I</v>
          </cell>
          <cell r="E246" t="str">
            <v>F-250I-444KGGG1R5</v>
          </cell>
        </row>
        <row r="247">
          <cell r="B247" t="str">
            <v>LXH-EA25-015</v>
          </cell>
          <cell r="C247" t="str">
            <v>BF-250NI, CP-265NB, SF-4573N, MC</v>
          </cell>
          <cell r="D247" t="str">
            <v>F-270I</v>
          </cell>
          <cell r="E247" t="str">
            <v>F-270I-444GGGG2A5</v>
          </cell>
        </row>
        <row r="248">
          <cell r="B248" t="str">
            <v>LXH-EA25-016</v>
          </cell>
          <cell r="C248" t="str">
            <v>BF-250NI, CP-265NB, SF-4573N, MC</v>
          </cell>
          <cell r="D248" t="str">
            <v>F-270I</v>
          </cell>
          <cell r="E248" t="str">
            <v>F-270I-444GGGS2A5</v>
          </cell>
        </row>
        <row r="249">
          <cell r="B249" t="str">
            <v>LXH-EA25-017</v>
          </cell>
          <cell r="C249" t="str">
            <v>BF-250NI, CP-265NB, SF-4573N, MC</v>
          </cell>
          <cell r="D249" t="str">
            <v>F-270I</v>
          </cell>
          <cell r="E249" t="str">
            <v>F-270I-444GGGS1R5</v>
          </cell>
        </row>
        <row r="250">
          <cell r="B250" t="str">
            <v>LXH-EA25-018</v>
          </cell>
          <cell r="C250" t="str">
            <v>BF-250NI, CP-265NB, SF-4573N, MC</v>
          </cell>
          <cell r="D250" t="str">
            <v>F-270I</v>
          </cell>
          <cell r="E250" t="str">
            <v>F-270I-466GGGS2A5</v>
          </cell>
        </row>
        <row r="251">
          <cell r="B251" t="str">
            <v>LXH-EA25-019</v>
          </cell>
          <cell r="C251" t="str">
            <v>BF-250NI, SF-4573N, MC-4573N</v>
          </cell>
          <cell r="D251" t="str">
            <v>F-250I</v>
          </cell>
          <cell r="E251" t="str">
            <v>F-250I-444KGGG2A5</v>
          </cell>
        </row>
        <row r="252">
          <cell r="B252" t="str">
            <v>LXH-EA25-020</v>
          </cell>
          <cell r="C252" t="str">
            <v>BF-130NI, SF-4573N, MC-4573N</v>
          </cell>
          <cell r="D252" t="str">
            <v>F-130I</v>
          </cell>
          <cell r="E252" t="str">
            <v>F-130I-224FFKG1A5</v>
          </cell>
        </row>
        <row r="253">
          <cell r="B253" t="str">
            <v>LXH-EA25-022</v>
          </cell>
          <cell r="C253" t="str">
            <v>BF-130NI, SF-4573N, MC-4573N</v>
          </cell>
          <cell r="D253" t="str">
            <v>F-130I</v>
          </cell>
          <cell r="E253" t="str">
            <v>F-130I-228FFGG1A5</v>
          </cell>
        </row>
        <row r="254">
          <cell r="B254" t="str">
            <v>LXH-EA25-023</v>
          </cell>
          <cell r="C254" t="str">
            <v>BF-130NI, SF-4573N, MC-4573N</v>
          </cell>
          <cell r="D254" t="str">
            <v>F-130I</v>
          </cell>
          <cell r="E254" t="str">
            <v>F-130I-228FFGS1A5</v>
          </cell>
        </row>
        <row r="255">
          <cell r="B255" t="str">
            <v>LXH-EA25-024</v>
          </cell>
          <cell r="C255" t="str">
            <v>BF-130NI, SF-4573N, MC-4573N</v>
          </cell>
          <cell r="D255" t="str">
            <v>F-130I</v>
          </cell>
          <cell r="E255" t="str">
            <v>F-130I-228FFKG1R5</v>
          </cell>
        </row>
        <row r="256">
          <cell r="B256" t="str">
            <v>LXH-EA25-025</v>
          </cell>
          <cell r="C256" t="str">
            <v>BF-250NI, SF-4573N, MC-4573N</v>
          </cell>
          <cell r="D256" t="str">
            <v>F-250I</v>
          </cell>
          <cell r="E256" t="str">
            <v>F-250I-466GGGS1R5</v>
          </cell>
        </row>
        <row r="257">
          <cell r="B257" t="str">
            <v>LXH-EA25-026</v>
          </cell>
          <cell r="C257" t="str">
            <v>BF-250NI, SF-4573N, MC-4573N</v>
          </cell>
          <cell r="D257" t="str">
            <v>F-250I</v>
          </cell>
          <cell r="E257" t="str">
            <v>F-250I-466KGGG1R5</v>
          </cell>
        </row>
        <row r="258">
          <cell r="B258" t="str">
            <v>LXH-EA25-027</v>
          </cell>
          <cell r="C258" t="str">
            <v>BF-130NI, SF-4573N, MC-4573N</v>
          </cell>
          <cell r="D258" t="str">
            <v>F-130I</v>
          </cell>
          <cell r="E258" t="str">
            <v>F-130I-228FFKG1A5</v>
          </cell>
        </row>
        <row r="259">
          <cell r="B259" t="str">
            <v>LXH-EA25-028</v>
          </cell>
          <cell r="C259" t="str">
            <v>BF-130NI, SF-4573N, MC-4573N</v>
          </cell>
          <cell r="D259" t="str">
            <v>F-130I</v>
          </cell>
          <cell r="E259" t="str">
            <v>F-130I-228FFGS1R5</v>
          </cell>
        </row>
        <row r="260">
          <cell r="B260" t="str">
            <v>LXH-EA25-029</v>
          </cell>
          <cell r="C260" t="str">
            <v>BF-250NI, CP-265NB, SF-4573N, MC</v>
          </cell>
          <cell r="D260" t="str">
            <v>F-270I</v>
          </cell>
          <cell r="E260" t="str">
            <v>F-270I-466GGGS1R5</v>
          </cell>
        </row>
        <row r="261">
          <cell r="B261" t="str">
            <v>LXH-EA25-030</v>
          </cell>
          <cell r="C261" t="str">
            <v>BF-250NI, CP-265NB, SF-4573N, MC</v>
          </cell>
          <cell r="D261" t="str">
            <v>F-270I</v>
          </cell>
          <cell r="E261" t="str">
            <v>F-270I-466KGGG1R5</v>
          </cell>
        </row>
        <row r="262">
          <cell r="B262" t="str">
            <v>LXH-EA25-031</v>
          </cell>
          <cell r="C262" t="str">
            <v>BF-250NI, SF-4573N, MC-4573N</v>
          </cell>
          <cell r="D262" t="str">
            <v>F-250I</v>
          </cell>
          <cell r="E262" t="str">
            <v>F-250I-488GGGG2A5</v>
          </cell>
        </row>
        <row r="263">
          <cell r="B263" t="str">
            <v>LXH-EA25-032</v>
          </cell>
          <cell r="C263" t="str">
            <v>BF-250NI, SF-4573N, MC-4573N</v>
          </cell>
          <cell r="D263" t="str">
            <v>F-250I</v>
          </cell>
          <cell r="E263" t="str">
            <v>F-250I-488KGGG2A5</v>
          </cell>
        </row>
        <row r="264">
          <cell r="B264" t="str">
            <v>LXH-EA25-033</v>
          </cell>
          <cell r="C264" t="str">
            <v>BF-250NI, SF-4573N, MC-4573N</v>
          </cell>
          <cell r="D264" t="str">
            <v>F-250I</v>
          </cell>
          <cell r="E264" t="str">
            <v>F-250I-488GGGS2A5</v>
          </cell>
        </row>
        <row r="265">
          <cell r="B265" t="str">
            <v>LXH-EA25-034</v>
          </cell>
          <cell r="C265" t="str">
            <v>BF-250NI, SF-4573N, MC-4573N</v>
          </cell>
          <cell r="D265" t="str">
            <v>F-250I</v>
          </cell>
          <cell r="E265" t="str">
            <v>F-250I-488KGGG1R5</v>
          </cell>
        </row>
        <row r="266">
          <cell r="B266" t="str">
            <v>LXH-EA25-035</v>
          </cell>
          <cell r="C266" t="str">
            <v>BF-250NI, CP-265NB, SF-4573N, MC</v>
          </cell>
          <cell r="D266" t="str">
            <v>F-270I</v>
          </cell>
          <cell r="E266" t="str">
            <v>F-270I-488KGGG1R5</v>
          </cell>
        </row>
        <row r="267">
          <cell r="B267" t="str">
            <v>LXH-EA25-036</v>
          </cell>
          <cell r="C267" t="str">
            <v>BF-250NI, CP-265NB, SF-4573N, MC</v>
          </cell>
          <cell r="D267" t="str">
            <v>F-270I</v>
          </cell>
          <cell r="E267" t="str">
            <v>F-270I-488GGGG2A5</v>
          </cell>
        </row>
        <row r="268">
          <cell r="B268" t="str">
            <v>LXH-EA25-037</v>
          </cell>
          <cell r="C268" t="str">
            <v>BF-250NI, CP-265NB, SF-4573N, MC</v>
          </cell>
          <cell r="D268" t="str">
            <v>F-270I</v>
          </cell>
          <cell r="E268" t="str">
            <v>F-270I-488GGGS2A5</v>
          </cell>
        </row>
        <row r="269">
          <cell r="B269" t="str">
            <v>LXH-EA25-038</v>
          </cell>
          <cell r="C269" t="str">
            <v>BF-250NI, CP-265NB, SF-4573N, MC</v>
          </cell>
          <cell r="D269" t="str">
            <v>F-270I</v>
          </cell>
          <cell r="E269" t="str">
            <v>F-270I-488KGGG2A5</v>
          </cell>
        </row>
        <row r="270">
          <cell r="B270" t="str">
            <v>LXH-EA25-039</v>
          </cell>
          <cell r="C270" t="str">
            <v>BF-250NI, CP-265NB, SF-4573N, MC</v>
          </cell>
          <cell r="D270" t="str">
            <v>F-270I</v>
          </cell>
          <cell r="E270" t="str">
            <v>F-270I-488GGGS1R5</v>
          </cell>
        </row>
        <row r="271">
          <cell r="B271" t="str">
            <v>LXH-EA25-040</v>
          </cell>
          <cell r="C271" t="str">
            <v>BF-250NI, SF-4573N, MC-4573N</v>
          </cell>
          <cell r="D271" t="str">
            <v>F-250I</v>
          </cell>
          <cell r="E271" t="str">
            <v>F-250I-488GGGS1R5</v>
          </cell>
        </row>
        <row r="272">
          <cell r="B272" t="str">
            <v>LXH-EA25-043</v>
          </cell>
          <cell r="C272" t="str">
            <v>BF-250NI,SF-4573N</v>
          </cell>
          <cell r="D272" t="str">
            <v>F-270I</v>
          </cell>
          <cell r="E272" t="str">
            <v>F-270I-466GGGL1R5-2</v>
          </cell>
        </row>
        <row r="273">
          <cell r="B273" t="str">
            <v>LXH-EA25-044</v>
          </cell>
          <cell r="C273" t="str">
            <v>BF-250NI,SF-4573N</v>
          </cell>
          <cell r="D273" t="str">
            <v>F-250I</v>
          </cell>
          <cell r="E273" t="str">
            <v>F-250I-466GGGL1R5-2</v>
          </cell>
        </row>
        <row r="274">
          <cell r="B274" t="str">
            <v>LXH-EA25-048</v>
          </cell>
          <cell r="C274" t="str">
            <v>BF-250N, SF-4573D</v>
          </cell>
          <cell r="D274" t="str">
            <v>F-250</v>
          </cell>
          <cell r="E274" t="str">
            <v>F-250-466GGGL1R5-2</v>
          </cell>
        </row>
        <row r="275">
          <cell r="B275" t="str">
            <v>LXH-EA25-049</v>
          </cell>
          <cell r="C275" t="str">
            <v>BF-145N,SF-4573D</v>
          </cell>
          <cell r="D275" t="str">
            <v>F-145</v>
          </cell>
          <cell r="E275" t="str">
            <v>F-145-226FFGL1R5-2</v>
          </cell>
        </row>
        <row r="276">
          <cell r="B276" t="str">
            <v>LXH-EA25-050</v>
          </cell>
          <cell r="C276" t="str">
            <v>BF-265NE, SF-4573D</v>
          </cell>
          <cell r="D276" t="str">
            <v>F-285</v>
          </cell>
          <cell r="E276" t="str">
            <v>F-285-466GGGL1R5-2</v>
          </cell>
        </row>
        <row r="277">
          <cell r="B277" t="str">
            <v>LXH-EA25-051</v>
          </cell>
          <cell r="C277" t="str">
            <v>BF-130NI,SF-4573N</v>
          </cell>
          <cell r="D277" t="str">
            <v>F-130I</v>
          </cell>
          <cell r="E277" t="str">
            <v>F-130I-226FFGL1R5-2</v>
          </cell>
        </row>
        <row r="278">
          <cell r="B278" t="str">
            <v>LXH-EA25-052</v>
          </cell>
          <cell r="C278" t="str">
            <v>BF-140N, SF-4573D</v>
          </cell>
          <cell r="D278" t="str">
            <v>F-140</v>
          </cell>
          <cell r="E278" t="str">
            <v>F-140-226FFGL1R5-2</v>
          </cell>
        </row>
        <row r="279">
          <cell r="B279" t="str">
            <v>LXH-EA25-053</v>
          </cell>
          <cell r="C279" t="str">
            <v>BF-265NE, SF-4573D</v>
          </cell>
          <cell r="D279" t="str">
            <v>F-265</v>
          </cell>
          <cell r="E279" t="str">
            <v>F-265-466GGGL1R5-2</v>
          </cell>
        </row>
        <row r="280">
          <cell r="B280" t="str">
            <v>LXH-EA25-041</v>
          </cell>
          <cell r="C280" t="str">
            <v>BF-250NI, SF-4573N</v>
          </cell>
          <cell r="D280" t="str">
            <v>F-250I</v>
          </cell>
          <cell r="E280" t="str">
            <v>F-250I-466UGGG2A5</v>
          </cell>
        </row>
        <row r="281">
          <cell r="B281" t="str">
            <v>LXH-EA25-042</v>
          </cell>
          <cell r="C281" t="str">
            <v>BF-130NI, SF-4573N</v>
          </cell>
          <cell r="D281" t="str">
            <v>F-130I</v>
          </cell>
          <cell r="E281" t="str">
            <v>F-130I-226FFUG1A5</v>
          </cell>
        </row>
        <row r="282">
          <cell r="B282" t="str">
            <v>LXH-EA25-054</v>
          </cell>
          <cell r="C282" t="str">
            <v>F-130is</v>
          </cell>
          <cell r="D282" t="str">
            <v>F-130IS</v>
          </cell>
          <cell r="E282" t="str">
            <v>F-130IS-228FFGG1A5</v>
          </cell>
        </row>
        <row r="283">
          <cell r="B283" t="str">
            <v>LXH-EA25-055</v>
          </cell>
          <cell r="C283" t="str">
            <v>F-250is</v>
          </cell>
          <cell r="D283" t="str">
            <v>F-250IS</v>
          </cell>
          <cell r="E283" t="str">
            <v>F-250IS-488GGGS2A5</v>
          </cell>
        </row>
        <row r="284">
          <cell r="B284" t="str">
            <v>LXH-EA25-056</v>
          </cell>
          <cell r="C284" t="str">
            <v>F-130is</v>
          </cell>
          <cell r="D284" t="str">
            <v>F-130IS</v>
          </cell>
          <cell r="E284" t="str">
            <v>F-130IS-226FFGG1A5</v>
          </cell>
        </row>
        <row r="285">
          <cell r="B285" t="str">
            <v>LXH-EA25-057</v>
          </cell>
          <cell r="C285" t="str">
            <v>F-270is</v>
          </cell>
          <cell r="D285" t="str">
            <v>F-270IS</v>
          </cell>
          <cell r="E285" t="str">
            <v>F-270IS-488GGGS2A5</v>
          </cell>
        </row>
        <row r="286">
          <cell r="B286" t="str">
            <v>LXH-EA25-058</v>
          </cell>
          <cell r="C286" t="str">
            <v>F-130is</v>
          </cell>
          <cell r="D286" t="str">
            <v>F-130IS</v>
          </cell>
          <cell r="E286" t="str">
            <v>F-130IS-224FFGG1A5</v>
          </cell>
        </row>
        <row r="287">
          <cell r="B287" t="str">
            <v>LXH-EA25-059</v>
          </cell>
          <cell r="C287" t="str">
            <v>F-270is</v>
          </cell>
          <cell r="D287" t="str">
            <v>F-270IS</v>
          </cell>
          <cell r="E287" t="str">
            <v>F-270IS-444GGGS1R5</v>
          </cell>
        </row>
        <row r="288">
          <cell r="B288" t="str">
            <v>LXH-EA25-060</v>
          </cell>
          <cell r="C288" t="str">
            <v>F-250is</v>
          </cell>
          <cell r="D288" t="str">
            <v>F-250IS</v>
          </cell>
          <cell r="E288" t="str">
            <v>F-250IS-466GGGS2A5</v>
          </cell>
        </row>
        <row r="289">
          <cell r="B289" t="str">
            <v>LXH-EA25-061</v>
          </cell>
          <cell r="C289" t="str">
            <v>F-250is</v>
          </cell>
          <cell r="D289" t="str">
            <v>F-250IS</v>
          </cell>
          <cell r="E289" t="str">
            <v>F-250IS-444GGGS1R5</v>
          </cell>
        </row>
        <row r="290">
          <cell r="B290" t="str">
            <v>LXH-EA25-062</v>
          </cell>
          <cell r="C290" t="str">
            <v>F-130is</v>
          </cell>
          <cell r="D290" t="str">
            <v>F-130IS</v>
          </cell>
          <cell r="E290" t="str">
            <v>F-130IS-228FFGS1A5</v>
          </cell>
        </row>
        <row r="291">
          <cell r="B291" t="str">
            <v>LXH-EA25-063</v>
          </cell>
          <cell r="C291" t="str">
            <v>F-130is</v>
          </cell>
          <cell r="D291" t="str">
            <v>F-130IS</v>
          </cell>
          <cell r="E291" t="str">
            <v>F-130IS-226FFGS1R5</v>
          </cell>
        </row>
        <row r="292">
          <cell r="B292" t="str">
            <v>LXH-EA25-064</v>
          </cell>
          <cell r="C292" t="str">
            <v>F-270is</v>
          </cell>
          <cell r="D292" t="str">
            <v>F-270IS</v>
          </cell>
          <cell r="E292" t="str">
            <v>F-270IS-466GGGS2A5</v>
          </cell>
        </row>
        <row r="293">
          <cell r="B293" t="str">
            <v>LXH-EA25-065</v>
          </cell>
          <cell r="C293" t="str">
            <v>F-130is</v>
          </cell>
          <cell r="D293" t="str">
            <v>F-130IS</v>
          </cell>
          <cell r="E293" t="str">
            <v>F-130IS-224FFGS1R5</v>
          </cell>
        </row>
      </sheetData>
      <sheetData sheetId="2" refreshError="1"/>
      <sheetData sheetId="3" refreshError="1"/>
      <sheetData sheetId="4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cent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</sheetPr>
  <dimension ref="A4:W54"/>
  <sheetViews>
    <sheetView showGridLines="0" showRowColHeaders="0" zoomScale="70" zoomScaleNormal="70" workbookViewId="0">
      <selection activeCell="K18" sqref="K18"/>
    </sheetView>
  </sheetViews>
  <sheetFormatPr defaultColWidth="0" defaultRowHeight="16.5"/>
  <cols>
    <col min="1" max="1" width="7.25" customWidth="1"/>
    <col min="2" max="2" width="3.125" customWidth="1"/>
    <col min="3" max="3" width="14.75" bestFit="1" customWidth="1"/>
    <col min="4" max="4" width="4.25" customWidth="1"/>
    <col min="5" max="5" width="15.875" bestFit="1" customWidth="1"/>
    <col min="6" max="8" width="9" customWidth="1"/>
    <col min="9" max="9" width="3.5" customWidth="1"/>
    <col min="10" max="10" width="9" customWidth="1"/>
    <col min="11" max="11" width="12" customWidth="1"/>
    <col min="12" max="12" width="5.75" customWidth="1"/>
    <col min="13" max="13" width="5.125" customWidth="1"/>
    <col min="14" max="21" width="9" customWidth="1"/>
    <col min="22" max="22" width="45.125" customWidth="1"/>
    <col min="23" max="23" width="9" customWidth="1"/>
    <col min="24" max="16384" width="9" hidden="1"/>
  </cols>
  <sheetData>
    <row r="4" spans="2:14">
      <c r="N4" s="9" t="s">
        <v>428</v>
      </c>
    </row>
    <row r="6" spans="2:14">
      <c r="N6" t="s">
        <v>427</v>
      </c>
    </row>
    <row r="7" spans="2:14">
      <c r="N7" t="s">
        <v>426</v>
      </c>
    </row>
    <row r="8" spans="2:14" ht="20.25">
      <c r="B8" s="10"/>
      <c r="C8" s="10"/>
      <c r="D8" s="10"/>
      <c r="E8" s="13"/>
      <c r="F8" s="10"/>
      <c r="G8" s="10"/>
      <c r="H8" s="10"/>
      <c r="I8" s="10"/>
      <c r="J8" s="10"/>
    </row>
    <row r="10" spans="2:14">
      <c r="C10" t="s">
        <v>425</v>
      </c>
      <c r="E10" s="12" t="s">
        <v>1699</v>
      </c>
    </row>
    <row r="11" spans="2:14">
      <c r="E11" s="12"/>
    </row>
    <row r="12" spans="2:14">
      <c r="C12" t="s">
        <v>424</v>
      </c>
      <c r="E12" t="s">
        <v>1698</v>
      </c>
    </row>
    <row r="14" spans="2:14">
      <c r="C14" t="s">
        <v>423</v>
      </c>
      <c r="E14" t="str">
        <f>IF(E10&gt;E12,HYPERLINK("http://www.lghausys.co.kr/popup/rn/download/downloadPopup.jsp?from=plwindow&amp;uu=/upload/window/LGwindowDB.xlsx","데이터베이스가 업데이트되었습니다(다운로드)"),"최신자료입니다.")</f>
        <v>데이터베이스가 업데이트되었습니다(다운로드)</v>
      </c>
    </row>
    <row r="15" spans="2:14">
      <c r="B15" s="10"/>
      <c r="C15" s="10"/>
      <c r="D15" s="10"/>
      <c r="E15" s="10"/>
      <c r="F15" s="10"/>
      <c r="G15" s="10"/>
      <c r="H15" s="10"/>
      <c r="I15" s="10"/>
      <c r="J15" s="10"/>
    </row>
    <row r="19" spans="2:3">
      <c r="B19" s="9" t="s">
        <v>422</v>
      </c>
    </row>
    <row r="21" spans="2:3">
      <c r="C21" t="s">
        <v>421</v>
      </c>
    </row>
    <row r="27" spans="2:3" ht="4.5" customHeight="1"/>
    <row r="28" spans="2:3">
      <c r="C28" t="s">
        <v>420</v>
      </c>
    </row>
    <row r="34" spans="2:14">
      <c r="N34" t="s">
        <v>419</v>
      </c>
    </row>
    <row r="36" spans="2:14">
      <c r="B36" s="9" t="s">
        <v>418</v>
      </c>
    </row>
    <row r="38" spans="2:14">
      <c r="C38" s="8" t="s">
        <v>417</v>
      </c>
    </row>
    <row r="39" spans="2:14">
      <c r="C39" t="s">
        <v>416</v>
      </c>
    </row>
    <row r="40" spans="2:14">
      <c r="C40" t="s">
        <v>415</v>
      </c>
    </row>
    <row r="41" spans="2:14">
      <c r="C41" t="s">
        <v>414</v>
      </c>
    </row>
    <row r="42" spans="2:14">
      <c r="C42" t="s">
        <v>413</v>
      </c>
    </row>
    <row r="43" spans="2:14">
      <c r="C43" t="s">
        <v>412</v>
      </c>
    </row>
    <row r="44" spans="2:14">
      <c r="C44" t="s">
        <v>411</v>
      </c>
    </row>
    <row r="45" spans="2:14">
      <c r="C45" t="s">
        <v>410</v>
      </c>
    </row>
    <row r="46" spans="2:14">
      <c r="C46" t="s">
        <v>409</v>
      </c>
    </row>
    <row r="47" spans="2:14">
      <c r="C47" t="s">
        <v>408</v>
      </c>
    </row>
    <row r="48" spans="2:14">
      <c r="C48" t="s">
        <v>407</v>
      </c>
    </row>
    <row r="49" spans="2:3">
      <c r="C49" t="s">
        <v>406</v>
      </c>
    </row>
    <row r="51" spans="2:3">
      <c r="C51" s="8" t="s">
        <v>405</v>
      </c>
    </row>
    <row r="52" spans="2:3">
      <c r="B52" t="s">
        <v>404</v>
      </c>
      <c r="C52" t="s">
        <v>403</v>
      </c>
    </row>
    <row r="53" spans="2:3">
      <c r="C53" t="s">
        <v>402</v>
      </c>
    </row>
    <row r="54" spans="2:3">
      <c r="C54" t="s">
        <v>401</v>
      </c>
    </row>
  </sheetData>
  <autoFilter ref="E10:E12" xr:uid="{00000000-0009-0000-0000-000000000000}"/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X1047700"/>
  <sheetViews>
    <sheetView zoomScale="85" zoomScaleNormal="85" workbookViewId="0">
      <pane xSplit="2" ySplit="1" topLeftCell="C209" activePane="bottomRight" state="frozen"/>
      <selection pane="topRight"/>
      <selection pane="bottomLeft"/>
      <selection pane="bottomRight" activeCell="D225" sqref="D225"/>
    </sheetView>
  </sheetViews>
  <sheetFormatPr defaultColWidth="8.75" defaultRowHeight="16.5"/>
  <cols>
    <col min="1" max="3" width="15" customWidth="1"/>
    <col min="4" max="4" width="45.75" customWidth="1"/>
    <col min="5" max="8" width="35" customWidth="1"/>
    <col min="9" max="9" width="14.25" customWidth="1"/>
    <col min="10" max="22" width="15" customWidth="1"/>
    <col min="23" max="23" width="10" bestFit="1" customWidth="1"/>
    <col min="24" max="24" width="11.5" style="18" customWidth="1"/>
  </cols>
  <sheetData>
    <row r="1" spans="1:24">
      <c r="A1" s="1" t="s">
        <v>0</v>
      </c>
      <c r="B1" s="1" t="s">
        <v>1</v>
      </c>
      <c r="C1" s="1" t="s">
        <v>2</v>
      </c>
      <c r="D1" s="1" t="s">
        <v>778</v>
      </c>
      <c r="E1" s="1" t="s">
        <v>3</v>
      </c>
      <c r="F1" s="1" t="s">
        <v>770</v>
      </c>
      <c r="G1" s="1" t="s">
        <v>779</v>
      </c>
      <c r="H1" s="1" t="s">
        <v>771</v>
      </c>
      <c r="I1" s="1" t="s">
        <v>4</v>
      </c>
      <c r="J1" s="1" t="s">
        <v>5</v>
      </c>
      <c r="K1" s="2" t="s">
        <v>6</v>
      </c>
      <c r="L1" s="3" t="s">
        <v>7</v>
      </c>
      <c r="M1" s="3" t="s">
        <v>8</v>
      </c>
      <c r="N1" s="2" t="s">
        <v>681</v>
      </c>
      <c r="O1" s="2" t="s">
        <v>9</v>
      </c>
      <c r="P1" s="2" t="s">
        <v>10</v>
      </c>
      <c r="Q1" s="2" t="s">
        <v>11</v>
      </c>
      <c r="R1" s="2" t="s">
        <v>12</v>
      </c>
      <c r="S1" s="2" t="s">
        <v>13</v>
      </c>
      <c r="T1" s="2" t="s">
        <v>14</v>
      </c>
      <c r="U1" s="2" t="s">
        <v>15</v>
      </c>
      <c r="V1" s="2" t="s">
        <v>16</v>
      </c>
      <c r="W1" s="4" t="s">
        <v>17</v>
      </c>
    </row>
    <row r="2" spans="1:24">
      <c r="A2" t="s">
        <v>18</v>
      </c>
      <c r="B2" t="s">
        <v>19</v>
      </c>
      <c r="C2" t="s">
        <v>20</v>
      </c>
      <c r="D2" t="s">
        <v>21</v>
      </c>
      <c r="E2" t="s">
        <v>19</v>
      </c>
      <c r="F2" t="s">
        <v>19</v>
      </c>
      <c r="G2" t="s">
        <v>19</v>
      </c>
      <c r="H2" t="s">
        <v>19</v>
      </c>
      <c r="I2" t="s">
        <v>19</v>
      </c>
      <c r="J2" t="s">
        <v>19</v>
      </c>
      <c r="K2" s="21" t="str">
        <f>IF($X2&lt;=0.9,HYPERLINK("http://www.lxhausys.co.kr/popup/rn/download/downloadPopup.jsp?from=plwindow&amp;uu=/upload/window/REPORT/12KICT01015-1,2-2.pdf","1등급"),IF($X2&lt;=1.2,HYPERLINK("http://www.lxhausys.co.kr/popup/rn/download/downloadPopup.jsp?from=plwindow&amp;uu=/upload/window/REPORT/12KICT01015-1,2-2.pdf","2등급"),IF($X2&lt;=1.8,HYPERLINK("http://www.lxhausys.co.kr/popup/rn/download/downloadPopup.jsp?from=plwindow&amp;uu=/upload/window/REPORT/12KICT01015-1,2-2.pdf","3등급"),IF($X2&lt;=2.3,HYPERLINK("http://www.lxhausys.co.kr/popup/rn/download/downloadPopup.jsp?from=plwindow&amp;uu=/upload/window/REPORT/12KICT01015-1,2-2.pdf","4등급"),IF($X2&lt;=2.8,HYPERLINK("http://www.lxhausys.co.kr/popup/rn/download/downloadPopup.jsp?from=plwindow&amp;uu=/upload/window/REPORT/12KICT01015-1,2-2.pdf","5등급"),HYPERLINK("http://www.lxhausys.co.kr/popup/rn/download/downloadPopup.jsp?from=plwindow&amp;uu=/upload/window/REPORT/12KICT01015-1,2-2.pdf","등급외"))))))</f>
        <v>4등급</v>
      </c>
      <c r="L2" s="5">
        <v>1.97</v>
      </c>
      <c r="M2" s="5" t="s">
        <v>22</v>
      </c>
      <c r="N2" s="5" t="s">
        <v>607</v>
      </c>
      <c r="O2" s="5"/>
      <c r="P2" s="5" t="s">
        <v>19</v>
      </c>
      <c r="Q2" s="5" t="s">
        <v>19</v>
      </c>
      <c r="R2" s="5" t="s">
        <v>19</v>
      </c>
      <c r="S2" s="5" t="s">
        <v>19</v>
      </c>
      <c r="T2" s="5" t="s">
        <v>19</v>
      </c>
      <c r="U2" s="5" t="s">
        <v>19</v>
      </c>
      <c r="V2" s="5" t="s">
        <v>19</v>
      </c>
      <c r="W2" s="5" t="s">
        <v>19</v>
      </c>
      <c r="X2" s="19">
        <f>L2</f>
        <v>1.97</v>
      </c>
    </row>
    <row r="3" spans="1:24">
      <c r="A3" t="s">
        <v>23</v>
      </c>
      <c r="B3" t="s">
        <v>19</v>
      </c>
      <c r="C3" t="s">
        <v>24</v>
      </c>
      <c r="D3" t="s">
        <v>25</v>
      </c>
      <c r="E3" t="s">
        <v>19</v>
      </c>
      <c r="F3" t="s">
        <v>19</v>
      </c>
      <c r="G3" t="s">
        <v>19</v>
      </c>
      <c r="H3" t="s">
        <v>26</v>
      </c>
      <c r="I3" t="s">
        <v>19</v>
      </c>
      <c r="J3" t="s">
        <v>19</v>
      </c>
      <c r="K3" s="21" t="s">
        <v>607</v>
      </c>
      <c r="L3" s="5" t="s">
        <v>19</v>
      </c>
      <c r="M3" s="5" t="s">
        <v>19</v>
      </c>
      <c r="N3" s="5" t="s">
        <v>19</v>
      </c>
      <c r="O3" s="5" t="s">
        <v>19</v>
      </c>
      <c r="P3" s="5" t="s">
        <v>19</v>
      </c>
      <c r="Q3" s="5" t="s">
        <v>19</v>
      </c>
      <c r="R3" s="5" t="str">
        <f>HYPERLINK("http://www.lghausys.co.kr/popup/rn/download/downloadPopup.jsp?from=plwindow&amp;uu=/upload/window/REPORT/13KICT00696-1.pdf","TS40등급,STC40")</f>
        <v>TS40등급,STC40</v>
      </c>
      <c r="S3" s="5" t="s">
        <v>19</v>
      </c>
      <c r="T3" s="5" t="s">
        <v>19</v>
      </c>
      <c r="U3" s="5" t="s">
        <v>19</v>
      </c>
      <c r="V3" s="5" t="s">
        <v>19</v>
      </c>
      <c r="W3" s="5" t="s">
        <v>19</v>
      </c>
      <c r="X3" s="5">
        <v>0.998</v>
      </c>
    </row>
    <row r="4" spans="1:24">
      <c r="A4" t="s">
        <v>27</v>
      </c>
      <c r="B4" t="s">
        <v>19</v>
      </c>
      <c r="C4" t="s">
        <v>24</v>
      </c>
      <c r="D4" t="s">
        <v>28</v>
      </c>
      <c r="E4" t="s">
        <v>29</v>
      </c>
      <c r="F4" t="s">
        <v>19</v>
      </c>
      <c r="G4" t="s">
        <v>19</v>
      </c>
      <c r="H4" t="s">
        <v>25</v>
      </c>
      <c r="I4" t="s">
        <v>19</v>
      </c>
      <c r="J4" t="s">
        <v>19</v>
      </c>
      <c r="K4" s="21" t="s">
        <v>607</v>
      </c>
      <c r="L4" s="5" t="s">
        <v>19</v>
      </c>
      <c r="M4" s="5" t="s">
        <v>19</v>
      </c>
      <c r="N4" s="5" t="s">
        <v>19</v>
      </c>
      <c r="O4" s="5" t="s">
        <v>19</v>
      </c>
      <c r="P4" s="5" t="s">
        <v>19</v>
      </c>
      <c r="Q4" s="5" t="s">
        <v>19</v>
      </c>
      <c r="R4" s="5" t="str">
        <f>HYPERLINK("http://www.lghausys.co.kr/popup/rn/download/downloadPopup.jsp?from=plwindow&amp;uu=/upload/window/REPORT/13KICT00776-1.pdf","TS35등급,STC40")</f>
        <v>TS35등급,STC40</v>
      </c>
      <c r="S4" s="5" t="s">
        <v>19</v>
      </c>
      <c r="T4" s="5" t="s">
        <v>19</v>
      </c>
      <c r="U4" s="5" t="s">
        <v>19</v>
      </c>
      <c r="V4" s="5" t="s">
        <v>19</v>
      </c>
      <c r="W4" s="5" t="s">
        <v>19</v>
      </c>
      <c r="X4" s="5">
        <v>1.0900000000000001</v>
      </c>
    </row>
    <row r="5" spans="1:24">
      <c r="A5" t="s">
        <v>30</v>
      </c>
      <c r="B5" t="s">
        <v>19</v>
      </c>
      <c r="C5" t="s">
        <v>24</v>
      </c>
      <c r="D5" t="s">
        <v>25</v>
      </c>
      <c r="E5" t="s">
        <v>19</v>
      </c>
      <c r="F5" t="s">
        <v>19</v>
      </c>
      <c r="G5" t="s">
        <v>19</v>
      </c>
      <c r="H5" t="s">
        <v>25</v>
      </c>
      <c r="I5" t="s">
        <v>19</v>
      </c>
      <c r="J5" t="s">
        <v>19</v>
      </c>
      <c r="K5" s="21" t="s">
        <v>607</v>
      </c>
      <c r="L5" s="5" t="s">
        <v>19</v>
      </c>
      <c r="M5" s="5" t="s">
        <v>19</v>
      </c>
      <c r="N5" s="5" t="s">
        <v>19</v>
      </c>
      <c r="O5" s="5" t="s">
        <v>19</v>
      </c>
      <c r="P5" s="5" t="s">
        <v>19</v>
      </c>
      <c r="Q5" s="5" t="s">
        <v>19</v>
      </c>
      <c r="R5" s="5" t="str">
        <f>HYPERLINK("http://www.lghausys.co.kr/popup/rn/download/downloadPopup.jsp?from=plwindow&amp;uu=/upload/window/REPORT/13KICT01235-1.pdf","TS40등급,STC41")</f>
        <v>TS40등급,STC41</v>
      </c>
      <c r="S5" s="5" t="s">
        <v>19</v>
      </c>
      <c r="T5" s="5" t="s">
        <v>19</v>
      </c>
      <c r="U5" s="5" t="s">
        <v>19</v>
      </c>
      <c r="V5" s="5" t="s">
        <v>19</v>
      </c>
      <c r="W5" s="5" t="s">
        <v>19</v>
      </c>
      <c r="X5" s="5">
        <v>1.2470000000000001</v>
      </c>
    </row>
    <row r="6" spans="1:24">
      <c r="A6" t="s">
        <v>30</v>
      </c>
      <c r="B6" t="s">
        <v>19</v>
      </c>
      <c r="C6" t="s">
        <v>31</v>
      </c>
      <c r="D6" t="s">
        <v>32</v>
      </c>
      <c r="E6" t="s">
        <v>19</v>
      </c>
      <c r="F6" t="s">
        <v>19</v>
      </c>
      <c r="G6" t="s">
        <v>19</v>
      </c>
      <c r="H6" t="s">
        <v>25</v>
      </c>
      <c r="I6" t="s">
        <v>19</v>
      </c>
      <c r="J6" t="s">
        <v>19</v>
      </c>
      <c r="K6" s="21" t="s">
        <v>607</v>
      </c>
      <c r="L6" s="5" t="s">
        <v>19</v>
      </c>
      <c r="M6" s="5" t="s">
        <v>19</v>
      </c>
      <c r="N6" s="5" t="s">
        <v>19</v>
      </c>
      <c r="O6" s="5" t="str">
        <f>HYPERLINK("http://www.lghausys.co.kr/popup/rn/download/downloadPopup.jsp?from=plwindow&amp;uu=/upload/window/REPORT/2007-38.pdf","1등급")</f>
        <v>1등급</v>
      </c>
      <c r="P6" s="5" t="str">
        <f>HYPERLINK("http://www.lghausys.co.kr/popup/rn/download/downloadPopup.jsp?from=plwindow&amp;uu=/upload/window/REPORT/2007-38.pdf","50등급")</f>
        <v>50등급</v>
      </c>
      <c r="Q6" s="5" t="str">
        <f>HYPERLINK("http://www.lghausys.co.kr/popup/rn/download/downloadPopup.jsp?from=plwindow&amp;uu=/upload/window/REPORT/2007-38.pdf","360등급")</f>
        <v>360등급</v>
      </c>
      <c r="R6" s="5" t="s">
        <v>19</v>
      </c>
      <c r="S6" s="5" t="s">
        <v>19</v>
      </c>
      <c r="T6" s="5" t="s">
        <v>19</v>
      </c>
      <c r="U6" s="5" t="s">
        <v>19</v>
      </c>
      <c r="V6" s="5" t="s">
        <v>19</v>
      </c>
      <c r="W6" s="5" t="s">
        <v>19</v>
      </c>
      <c r="X6" s="5">
        <v>1.28</v>
      </c>
    </row>
    <row r="7" spans="1:24">
      <c r="A7" t="s">
        <v>27</v>
      </c>
      <c r="B7" t="s">
        <v>19</v>
      </c>
      <c r="C7" t="s">
        <v>24</v>
      </c>
      <c r="D7" t="s">
        <v>25</v>
      </c>
      <c r="E7" t="s">
        <v>33</v>
      </c>
      <c r="F7" t="s">
        <v>19</v>
      </c>
      <c r="G7" t="s">
        <v>19</v>
      </c>
      <c r="H7" t="s">
        <v>32</v>
      </c>
      <c r="I7" t="s">
        <v>19</v>
      </c>
      <c r="J7" t="s">
        <v>19</v>
      </c>
      <c r="K7" s="21" t="s">
        <v>607</v>
      </c>
      <c r="L7" s="5" t="s">
        <v>19</v>
      </c>
      <c r="M7" s="5" t="s">
        <v>19</v>
      </c>
      <c r="N7" s="5" t="s">
        <v>19</v>
      </c>
      <c r="O7" s="5" t="s">
        <v>19</v>
      </c>
      <c r="P7" s="5" t="s">
        <v>19</v>
      </c>
      <c r="Q7" s="5" t="s">
        <v>19</v>
      </c>
      <c r="R7" s="5" t="str">
        <f>HYPERLINK("http://www.lghausys.co.kr/popup/rn/download/downloadPopup.jsp?from=plwindow&amp;uu=/upload/window/REPORT/2009-100.pdf","TS40등급,STC47")</f>
        <v>TS40등급,STC47</v>
      </c>
      <c r="S7" s="5" t="s">
        <v>19</v>
      </c>
      <c r="T7" s="5" t="s">
        <v>19</v>
      </c>
      <c r="U7" s="5" t="s">
        <v>19</v>
      </c>
      <c r="V7" s="5" t="s">
        <v>19</v>
      </c>
      <c r="W7" s="5" t="s">
        <v>19</v>
      </c>
      <c r="X7" s="5">
        <v>3.3109999999999999</v>
      </c>
    </row>
    <row r="8" spans="1:24">
      <c r="A8" t="s">
        <v>27</v>
      </c>
      <c r="B8" t="s">
        <v>19</v>
      </c>
      <c r="C8" t="s">
        <v>34</v>
      </c>
      <c r="D8" t="s">
        <v>25</v>
      </c>
      <c r="E8" t="s">
        <v>33</v>
      </c>
      <c r="F8" t="s">
        <v>19</v>
      </c>
      <c r="G8" t="s">
        <v>19</v>
      </c>
      <c r="H8" t="s">
        <v>32</v>
      </c>
      <c r="I8" t="s">
        <v>19</v>
      </c>
      <c r="J8" t="s">
        <v>19</v>
      </c>
      <c r="K8" s="21" t="s">
        <v>607</v>
      </c>
      <c r="L8" s="5" t="s">
        <v>19</v>
      </c>
      <c r="M8" s="5" t="s">
        <v>19</v>
      </c>
      <c r="N8" s="5" t="str">
        <f>HYPERLINK("http://www.lghausys.co.kr/popup/rn/download/downloadPopup.jsp?from=plwindow&amp;uu=/upload/window/REPORT/2009-82.pdf","1.167")</f>
        <v>1.167</v>
      </c>
      <c r="O8" s="5" t="s">
        <v>19</v>
      </c>
      <c r="P8" s="5" t="s">
        <v>19</v>
      </c>
      <c r="Q8" s="5" t="s">
        <v>19</v>
      </c>
      <c r="R8" s="5" t="s">
        <v>19</v>
      </c>
      <c r="S8" s="5" t="s">
        <v>19</v>
      </c>
      <c r="T8" s="5" t="s">
        <v>19</v>
      </c>
      <c r="U8" s="5" t="s">
        <v>19</v>
      </c>
      <c r="V8" s="5" t="s">
        <v>19</v>
      </c>
      <c r="W8" s="5" t="s">
        <v>19</v>
      </c>
      <c r="X8" s="5">
        <v>1.5649999999999999</v>
      </c>
    </row>
    <row r="9" spans="1:24">
      <c r="A9" t="s">
        <v>27</v>
      </c>
      <c r="B9" t="s">
        <v>19</v>
      </c>
      <c r="C9" t="s">
        <v>31</v>
      </c>
      <c r="D9" t="s">
        <v>25</v>
      </c>
      <c r="E9" t="s">
        <v>33</v>
      </c>
      <c r="F9" t="s">
        <v>19</v>
      </c>
      <c r="G9" t="s">
        <v>19</v>
      </c>
      <c r="H9" t="s">
        <v>32</v>
      </c>
      <c r="I9" t="s">
        <v>19</v>
      </c>
      <c r="J9" t="s">
        <v>19</v>
      </c>
      <c r="K9" s="21" t="s">
        <v>607</v>
      </c>
      <c r="L9" s="5" t="s">
        <v>19</v>
      </c>
      <c r="M9" s="5" t="s">
        <v>19</v>
      </c>
      <c r="N9" s="5" t="s">
        <v>19</v>
      </c>
      <c r="O9" s="5" t="str">
        <f>HYPERLINK("http://www.lghausys.co.kr/popup/rn/download/downloadPopup.jsp?from=plwindow&amp;uu=/upload/window/REPORT/2009-83.pdf","1등급")</f>
        <v>1등급</v>
      </c>
      <c r="P9" s="5" t="str">
        <f>HYPERLINK("http://www.lghausys.co.kr/popup/rn/download/downloadPopup.jsp?from=plwindow&amp;uu=/upload/window/REPORT/2009-83.pdf","50등급")</f>
        <v>50등급</v>
      </c>
      <c r="Q9" s="5" t="str">
        <f>HYPERLINK("http://www.lghausys.co.kr/popup/rn/download/downloadPopup.jsp?from=plwindow&amp;uu=/upload/window/REPORT/2009-83.pdf","400등급")</f>
        <v>400등급</v>
      </c>
      <c r="R9" s="5" t="s">
        <v>19</v>
      </c>
      <c r="S9" s="5" t="s">
        <v>19</v>
      </c>
      <c r="T9" s="5" t="s">
        <v>19</v>
      </c>
      <c r="U9" s="5" t="s">
        <v>19</v>
      </c>
      <c r="V9" s="5" t="s">
        <v>19</v>
      </c>
      <c r="W9" s="5" t="s">
        <v>19</v>
      </c>
      <c r="X9" s="5">
        <v>1.718</v>
      </c>
    </row>
    <row r="10" spans="1:24">
      <c r="A10" t="s">
        <v>23</v>
      </c>
      <c r="B10" t="s">
        <v>19</v>
      </c>
      <c r="C10" t="s">
        <v>24</v>
      </c>
      <c r="D10" t="s">
        <v>25</v>
      </c>
      <c r="E10" t="s">
        <v>19</v>
      </c>
      <c r="F10" t="s">
        <v>19</v>
      </c>
      <c r="G10" t="s">
        <v>19</v>
      </c>
      <c r="H10" t="s">
        <v>26</v>
      </c>
      <c r="I10" t="s">
        <v>19</v>
      </c>
      <c r="J10" t="s">
        <v>19</v>
      </c>
      <c r="K10" s="21" t="s">
        <v>607</v>
      </c>
      <c r="L10" s="5" t="s">
        <v>19</v>
      </c>
      <c r="M10" s="5" t="s">
        <v>19</v>
      </c>
      <c r="N10" s="5" t="s">
        <v>19</v>
      </c>
      <c r="O10" s="5" t="s">
        <v>19</v>
      </c>
      <c r="P10" s="5" t="s">
        <v>19</v>
      </c>
      <c r="Q10" s="5" t="s">
        <v>19</v>
      </c>
      <c r="R10" s="5" t="str">
        <f>HYPERLINK("http://www.lghausys.co.kr/popup/rn/download/downloadPopup.jsp?from=plwindow&amp;uu=/upload/window/REPORT/2010242531-2,10.pdf","TS40등급,STC42")</f>
        <v>TS40등급,STC42</v>
      </c>
      <c r="S10" s="5" t="s">
        <v>19</v>
      </c>
      <c r="T10" s="5" t="s">
        <v>19</v>
      </c>
      <c r="U10" s="5" t="s">
        <v>19</v>
      </c>
      <c r="V10" s="5" t="s">
        <v>19</v>
      </c>
      <c r="W10" s="5" t="s">
        <v>19</v>
      </c>
      <c r="X10" s="5">
        <v>1.28</v>
      </c>
    </row>
    <row r="11" spans="1:24">
      <c r="A11" t="s">
        <v>35</v>
      </c>
      <c r="B11" t="s">
        <v>19</v>
      </c>
      <c r="C11" t="s">
        <v>24</v>
      </c>
      <c r="D11" t="s">
        <v>26</v>
      </c>
      <c r="E11" t="s">
        <v>19</v>
      </c>
      <c r="F11" t="s">
        <v>19</v>
      </c>
      <c r="G11" t="s">
        <v>19</v>
      </c>
      <c r="H11" t="s">
        <v>19</v>
      </c>
      <c r="I11" t="s">
        <v>19</v>
      </c>
      <c r="J11" t="s">
        <v>19</v>
      </c>
      <c r="K11" s="21" t="s">
        <v>607</v>
      </c>
      <c r="L11" s="5" t="s">
        <v>19</v>
      </c>
      <c r="M11" s="5" t="s">
        <v>19</v>
      </c>
      <c r="N11" s="5" t="s">
        <v>19</v>
      </c>
      <c r="O11" s="5" t="s">
        <v>19</v>
      </c>
      <c r="P11" s="5" t="s">
        <v>19</v>
      </c>
      <c r="Q11" s="5" t="s">
        <v>19</v>
      </c>
      <c r="R11" s="5" t="str">
        <f>HYPERLINK("http://www.lghausys.co.kr/popup/rn/download/downloadPopup.jsp?from=plwindow&amp;uu=/upload/window/REPORT/2010242531-7,10.pdf","TS25등급,STC27")</f>
        <v>TS25등급,STC27</v>
      </c>
      <c r="S11" s="5" t="s">
        <v>19</v>
      </c>
      <c r="T11" s="5" t="s">
        <v>19</v>
      </c>
      <c r="U11" s="5" t="s">
        <v>19</v>
      </c>
      <c r="V11" s="5" t="s">
        <v>19</v>
      </c>
      <c r="W11" s="5" t="s">
        <v>19</v>
      </c>
      <c r="X11" s="5">
        <v>1.639</v>
      </c>
    </row>
    <row r="12" spans="1:24">
      <c r="A12" t="s">
        <v>36</v>
      </c>
      <c r="B12" t="s">
        <v>19</v>
      </c>
      <c r="C12" t="s">
        <v>34</v>
      </c>
      <c r="D12" t="s">
        <v>37</v>
      </c>
      <c r="E12" t="s">
        <v>38</v>
      </c>
      <c r="F12" t="s">
        <v>19</v>
      </c>
      <c r="G12" t="s">
        <v>19</v>
      </c>
      <c r="H12" t="s">
        <v>19</v>
      </c>
      <c r="I12" t="s">
        <v>19</v>
      </c>
      <c r="J12" t="s">
        <v>19</v>
      </c>
      <c r="K12" s="21" t="s">
        <v>607</v>
      </c>
      <c r="L12" s="5" t="s">
        <v>19</v>
      </c>
      <c r="M12" s="5" t="s">
        <v>19</v>
      </c>
      <c r="N12" s="5" t="str">
        <f>HYPERLINK("http://www.lghausys.co.kr/popup/rn/download/downloadPopup.jsp?from=plwindow&amp;uu=/upload/window/REPORT/2011-0294.pdf","1.284")</f>
        <v>1.284</v>
      </c>
      <c r="O12" s="5" t="s">
        <v>19</v>
      </c>
      <c r="P12" s="5" t="s">
        <v>19</v>
      </c>
      <c r="Q12" s="5" t="s">
        <v>19</v>
      </c>
      <c r="R12" s="5" t="s">
        <v>19</v>
      </c>
      <c r="S12" s="5" t="s">
        <v>19</v>
      </c>
      <c r="T12" s="5" t="s">
        <v>19</v>
      </c>
      <c r="U12" s="5" t="s">
        <v>19</v>
      </c>
      <c r="V12" s="5" t="s">
        <v>19</v>
      </c>
      <c r="W12" s="5" t="s">
        <v>19</v>
      </c>
      <c r="X12" s="5">
        <v>2.5910000000000002</v>
      </c>
    </row>
    <row r="13" spans="1:24">
      <c r="A13" t="s">
        <v>36</v>
      </c>
      <c r="B13" t="s">
        <v>19</v>
      </c>
      <c r="C13" t="s">
        <v>24</v>
      </c>
      <c r="D13" t="s">
        <v>37</v>
      </c>
      <c r="E13" t="s">
        <v>38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s="21" t="s">
        <v>607</v>
      </c>
      <c r="L13" s="5" t="s">
        <v>19</v>
      </c>
      <c r="M13" s="5" t="s">
        <v>19</v>
      </c>
      <c r="N13" s="5" t="s">
        <v>19</v>
      </c>
      <c r="O13" s="5" t="s">
        <v>19</v>
      </c>
      <c r="P13" s="5" t="s">
        <v>19</v>
      </c>
      <c r="Q13" s="5" t="s">
        <v>19</v>
      </c>
      <c r="R13" s="5" t="str">
        <f>HYPERLINK("http://www.lghausys.co.kr/popup/rn/download/downloadPopup.jsp?from=plwindow&amp;uu=/upload/window/REPORT/2011-0319.pdf","TS30등급,STC36")</f>
        <v>TS30등급,STC36</v>
      </c>
      <c r="S13" s="5" t="s">
        <v>19</v>
      </c>
      <c r="T13" s="5" t="s">
        <v>19</v>
      </c>
      <c r="U13" s="5" t="s">
        <v>19</v>
      </c>
      <c r="V13" s="5" t="s">
        <v>19</v>
      </c>
      <c r="W13" s="5" t="s">
        <v>19</v>
      </c>
      <c r="X13" s="5">
        <v>1.6639999999999999</v>
      </c>
    </row>
    <row r="14" spans="1:24">
      <c r="A14" t="s">
        <v>36</v>
      </c>
      <c r="B14" t="s">
        <v>19</v>
      </c>
      <c r="C14" t="s">
        <v>34</v>
      </c>
      <c r="D14" t="s">
        <v>37</v>
      </c>
      <c r="E14" t="s">
        <v>38</v>
      </c>
      <c r="F14" t="s">
        <v>19</v>
      </c>
      <c r="G14" t="s">
        <v>19</v>
      </c>
      <c r="H14" t="s">
        <v>19</v>
      </c>
      <c r="I14" t="s">
        <v>19</v>
      </c>
      <c r="J14" t="s">
        <v>19</v>
      </c>
      <c r="K14" s="21" t="s">
        <v>607</v>
      </c>
      <c r="L14" s="5" t="s">
        <v>19</v>
      </c>
      <c r="M14" s="5" t="s">
        <v>19</v>
      </c>
      <c r="N14" s="5" t="str">
        <f>HYPERLINK("http://www.lghausys.co.kr/popup/rn/download/downloadPopup.jsp?from=plwindow&amp;uu=/upload/window/REPORT/201106136-1-4.pdf","1.24")</f>
        <v>1.24</v>
      </c>
      <c r="O14" s="5" t="s">
        <v>19</v>
      </c>
      <c r="P14" s="5" t="s">
        <v>19</v>
      </c>
      <c r="Q14" s="5" t="s">
        <v>19</v>
      </c>
      <c r="R14" s="5" t="s">
        <v>19</v>
      </c>
      <c r="S14" s="5" t="s">
        <v>19</v>
      </c>
      <c r="T14" s="5" t="s">
        <v>19</v>
      </c>
      <c r="U14" s="5" t="s">
        <v>19</v>
      </c>
      <c r="V14" s="5" t="s">
        <v>19</v>
      </c>
      <c r="W14" s="5" t="s">
        <v>19</v>
      </c>
      <c r="X14" s="5">
        <v>1.292</v>
      </c>
    </row>
    <row r="15" spans="1:24">
      <c r="A15" t="s">
        <v>39</v>
      </c>
      <c r="B15" t="s">
        <v>19</v>
      </c>
      <c r="C15" t="s">
        <v>31</v>
      </c>
      <c r="D15" t="s">
        <v>40</v>
      </c>
      <c r="E15" t="s">
        <v>19</v>
      </c>
      <c r="F15" t="s">
        <v>19</v>
      </c>
      <c r="G15" t="s">
        <v>19</v>
      </c>
      <c r="H15" t="s">
        <v>19</v>
      </c>
      <c r="I15" t="s">
        <v>19</v>
      </c>
      <c r="J15" t="s">
        <v>19</v>
      </c>
      <c r="K15" s="21" t="s">
        <v>607</v>
      </c>
      <c r="L15" s="5" t="s">
        <v>19</v>
      </c>
      <c r="M15" s="5" t="s">
        <v>19</v>
      </c>
      <c r="N15" s="5" t="s">
        <v>19</v>
      </c>
      <c r="O15" s="5" t="str">
        <f>HYPERLINK("http://www.lghausys.co.kr/popup/rn/download/downloadPopup.jsp?from=plwindow&amp;uu=/upload/window/REPORT/201106136-2-2.pdf","1등급")</f>
        <v>1등급</v>
      </c>
      <c r="P15" s="5" t="s">
        <v>19</v>
      </c>
      <c r="Q15" s="5" t="s">
        <v>19</v>
      </c>
      <c r="R15" s="5" t="s">
        <v>19</v>
      </c>
      <c r="S15" s="5" t="s">
        <v>19</v>
      </c>
      <c r="T15" s="5" t="s">
        <v>19</v>
      </c>
      <c r="U15" s="5" t="s">
        <v>19</v>
      </c>
      <c r="V15" s="5" t="s">
        <v>19</v>
      </c>
      <c r="W15" s="5" t="s">
        <v>19</v>
      </c>
      <c r="X15" s="5">
        <v>0.95299999999999996</v>
      </c>
    </row>
    <row r="16" spans="1:24">
      <c r="A16" t="s">
        <v>30</v>
      </c>
      <c r="B16" t="s">
        <v>19</v>
      </c>
      <c r="C16" t="s">
        <v>24</v>
      </c>
      <c r="D16" t="s">
        <v>25</v>
      </c>
      <c r="E16" t="s">
        <v>19</v>
      </c>
      <c r="F16" t="s">
        <v>19</v>
      </c>
      <c r="G16" t="s">
        <v>19</v>
      </c>
      <c r="H16" t="s">
        <v>41</v>
      </c>
      <c r="I16" t="s">
        <v>19</v>
      </c>
      <c r="J16" t="s">
        <v>19</v>
      </c>
      <c r="K16" s="21" t="s">
        <v>607</v>
      </c>
      <c r="L16" s="5" t="s">
        <v>19</v>
      </c>
      <c r="M16" s="5" t="s">
        <v>19</v>
      </c>
      <c r="N16" s="5" t="s">
        <v>19</v>
      </c>
      <c r="O16" s="5" t="s">
        <v>19</v>
      </c>
      <c r="P16" s="5" t="s">
        <v>19</v>
      </c>
      <c r="Q16" s="5" t="s">
        <v>19</v>
      </c>
      <c r="R16" s="5" t="str">
        <f>HYPERLINK("http://www.lghausys.co.kr/popup/rn/download/downloadPopup.jsp?from=plwindow&amp;uu=/upload/window/REPORT/2011299531-1,4.pdf","TS35등급,STC41")</f>
        <v>TS35등급,STC41</v>
      </c>
      <c r="S16" s="5" t="s">
        <v>19</v>
      </c>
      <c r="T16" s="5" t="s">
        <v>19</v>
      </c>
      <c r="U16" s="5" t="s">
        <v>19</v>
      </c>
      <c r="V16" s="5" t="s">
        <v>19</v>
      </c>
      <c r="W16" s="5" t="s">
        <v>19</v>
      </c>
      <c r="X16" s="5">
        <v>1.754</v>
      </c>
    </row>
    <row r="17" spans="1:24">
      <c r="A17" t="s">
        <v>42</v>
      </c>
      <c r="B17" t="s">
        <v>43</v>
      </c>
      <c r="C17" t="s">
        <v>24</v>
      </c>
      <c r="D17" t="s">
        <v>41</v>
      </c>
      <c r="E17" t="s">
        <v>19</v>
      </c>
      <c r="F17" t="s">
        <v>19</v>
      </c>
      <c r="G17" t="s">
        <v>19</v>
      </c>
      <c r="H17" t="s">
        <v>19</v>
      </c>
      <c r="I17" t="s">
        <v>19</v>
      </c>
      <c r="J17" t="s">
        <v>19</v>
      </c>
      <c r="K17" s="21" t="s">
        <v>607</v>
      </c>
      <c r="L17" s="5" t="s">
        <v>19</v>
      </c>
      <c r="M17" s="5" t="s">
        <v>19</v>
      </c>
      <c r="N17" s="5" t="s">
        <v>19</v>
      </c>
      <c r="O17" s="5" t="s">
        <v>19</v>
      </c>
      <c r="P17" s="5" t="s">
        <v>19</v>
      </c>
      <c r="Q17" s="5" t="s">
        <v>19</v>
      </c>
      <c r="R17" s="5" t="str">
        <f>HYPERLINK("http://www.lghausys.co.kr/popup/rn/download/downloadPopup.jsp?from=plwindow&amp;uu=/upload/window/REPORT/2012119351-5,6.pdf","TS25등급,STC28")</f>
        <v>TS25등급,STC28</v>
      </c>
      <c r="S17" s="5" t="s">
        <v>19</v>
      </c>
      <c r="T17" s="5" t="s">
        <v>19</v>
      </c>
      <c r="U17" s="5" t="s">
        <v>19</v>
      </c>
      <c r="V17" s="5" t="s">
        <v>19</v>
      </c>
      <c r="W17" s="5" t="s">
        <v>19</v>
      </c>
      <c r="X17" s="5">
        <v>1.8320000000000001</v>
      </c>
    </row>
    <row r="18" spans="1:24">
      <c r="A18" t="s">
        <v>44</v>
      </c>
      <c r="B18" t="s">
        <v>19</v>
      </c>
      <c r="C18" t="s">
        <v>34</v>
      </c>
      <c r="D18" t="s">
        <v>45</v>
      </c>
      <c r="E18" t="s">
        <v>19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s="21" t="s">
        <v>607</v>
      </c>
      <c r="L18" s="5" t="s">
        <v>19</v>
      </c>
      <c r="M18" s="5" t="s">
        <v>19</v>
      </c>
      <c r="N18" s="5" t="str">
        <f>HYPERLINK("http://www.lghausys.co.kr/popup/rn/download/downloadPopup.jsp?from=plwindow&amp;uu=/upload/window/REPORT/A2014-0329.pdf","0.952")</f>
        <v>0.952</v>
      </c>
      <c r="O18" s="5" t="s">
        <v>19</v>
      </c>
      <c r="P18" s="5" t="s">
        <v>19</v>
      </c>
      <c r="Q18" s="5" t="s">
        <v>19</v>
      </c>
      <c r="R18" s="5" t="s">
        <v>19</v>
      </c>
      <c r="S18" s="5" t="s">
        <v>19</v>
      </c>
      <c r="T18" s="5" t="s">
        <v>19</v>
      </c>
      <c r="U18" s="5" t="s">
        <v>19</v>
      </c>
      <c r="V18" s="5" t="s">
        <v>19</v>
      </c>
      <c r="W18" s="5" t="s">
        <v>19</v>
      </c>
      <c r="X18" s="5">
        <v>2.2829999999999999</v>
      </c>
    </row>
    <row r="19" spans="1:24">
      <c r="A19" t="s">
        <v>44</v>
      </c>
      <c r="B19" t="s">
        <v>19</v>
      </c>
      <c r="C19" t="s">
        <v>31</v>
      </c>
      <c r="D19" t="s">
        <v>45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s="21" t="s">
        <v>607</v>
      </c>
      <c r="L19" s="5" t="s">
        <v>19</v>
      </c>
      <c r="M19" s="5" t="s">
        <v>19</v>
      </c>
      <c r="N19" s="5" t="s">
        <v>19</v>
      </c>
      <c r="O19" s="5" t="s">
        <v>19</v>
      </c>
      <c r="P19" s="5" t="str">
        <f>HYPERLINK("http://www.lghausys.co.kr/popup/rn/download/downloadPopup.jsp?from=plwindow&amp;uu=/upload/window/REPORT/A2014-0332.pdf","50등급")</f>
        <v>50등급</v>
      </c>
      <c r="Q19" s="5" t="s">
        <v>19</v>
      </c>
      <c r="R19" s="5" t="s">
        <v>19</v>
      </c>
      <c r="S19" s="5" t="s">
        <v>19</v>
      </c>
      <c r="T19" s="5" t="s">
        <v>19</v>
      </c>
      <c r="U19" s="5" t="s">
        <v>19</v>
      </c>
      <c r="V19" s="5" t="s">
        <v>19</v>
      </c>
      <c r="W19" s="5" t="s">
        <v>19</v>
      </c>
      <c r="X19" s="5">
        <v>1.8149999999999999</v>
      </c>
    </row>
    <row r="20" spans="1:24">
      <c r="A20" t="s">
        <v>44</v>
      </c>
      <c r="B20" t="s">
        <v>19</v>
      </c>
      <c r="C20" t="s">
        <v>31</v>
      </c>
      <c r="D20" t="s">
        <v>45</v>
      </c>
      <c r="E20" t="s">
        <v>19</v>
      </c>
      <c r="F20" t="s">
        <v>19</v>
      </c>
      <c r="G20" t="s">
        <v>19</v>
      </c>
      <c r="H20" t="s">
        <v>19</v>
      </c>
      <c r="I20" t="s">
        <v>19</v>
      </c>
      <c r="J20" t="s">
        <v>19</v>
      </c>
      <c r="K20" s="21" t="s">
        <v>607</v>
      </c>
      <c r="L20" s="5" t="s">
        <v>19</v>
      </c>
      <c r="M20" s="5" t="s">
        <v>19</v>
      </c>
      <c r="N20" s="5" t="s">
        <v>19</v>
      </c>
      <c r="O20" s="5" t="s">
        <v>19</v>
      </c>
      <c r="P20" s="5" t="s">
        <v>19</v>
      </c>
      <c r="Q20" s="5" t="str">
        <f>HYPERLINK("http://www.lghausys.co.kr/popup/rn/download/downloadPopup.jsp?from=plwindow&amp;uu=/upload/window/REPORT/A2014-0333.pdf","240등급")</f>
        <v>240등급</v>
      </c>
      <c r="R20" s="5" t="s">
        <v>19</v>
      </c>
      <c r="S20" s="5" t="s">
        <v>19</v>
      </c>
      <c r="T20" s="5" t="s">
        <v>19</v>
      </c>
      <c r="U20" s="5" t="s">
        <v>19</v>
      </c>
      <c r="V20" s="5" t="s">
        <v>19</v>
      </c>
      <c r="W20" s="5" t="s">
        <v>19</v>
      </c>
      <c r="X20" s="5">
        <v>2.625</v>
      </c>
    </row>
    <row r="21" spans="1:24">
      <c r="A21" t="s">
        <v>18</v>
      </c>
      <c r="B21" t="s">
        <v>19</v>
      </c>
      <c r="C21" t="s">
        <v>34</v>
      </c>
      <c r="D21" t="s">
        <v>45</v>
      </c>
      <c r="E21" t="s">
        <v>19</v>
      </c>
      <c r="F21" t="s">
        <v>19</v>
      </c>
      <c r="G21" t="s">
        <v>19</v>
      </c>
      <c r="H21" t="s">
        <v>19</v>
      </c>
      <c r="I21" t="s">
        <v>19</v>
      </c>
      <c r="J21" t="s">
        <v>19</v>
      </c>
      <c r="K21" s="21" t="s">
        <v>607</v>
      </c>
      <c r="L21" s="5" t="s">
        <v>19</v>
      </c>
      <c r="M21" s="5" t="s">
        <v>19</v>
      </c>
      <c r="N21" s="5" t="str">
        <f>HYPERLINK("http://www.lghausys.co.kr/popup/rn/download/downloadPopup.jsp?from=plwindow&amp;uu=/upload/window/REPORT/A2014-0334.pdf","0.961")</f>
        <v>0.961</v>
      </c>
      <c r="O21" s="5" t="s">
        <v>19</v>
      </c>
      <c r="P21" s="5" t="s">
        <v>19</v>
      </c>
      <c r="Q21" s="5" t="s">
        <v>19</v>
      </c>
      <c r="R21" s="5" t="s">
        <v>19</v>
      </c>
      <c r="S21" s="5" t="s">
        <v>19</v>
      </c>
      <c r="T21" s="5" t="s">
        <v>19</v>
      </c>
      <c r="U21" s="5" t="s">
        <v>19</v>
      </c>
      <c r="V21" s="5" t="s">
        <v>19</v>
      </c>
      <c r="W21" s="5" t="s">
        <v>19</v>
      </c>
      <c r="X21" s="5">
        <v>1.7010000000000001</v>
      </c>
    </row>
    <row r="22" spans="1:24">
      <c r="A22" t="s">
        <v>18</v>
      </c>
      <c r="B22" t="s">
        <v>19</v>
      </c>
      <c r="C22" t="s">
        <v>31</v>
      </c>
      <c r="D22" t="s">
        <v>45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s="21" t="s">
        <v>607</v>
      </c>
      <c r="L22" s="5" t="s">
        <v>19</v>
      </c>
      <c r="M22" s="5" t="s">
        <v>19</v>
      </c>
      <c r="N22" s="5" t="s">
        <v>19</v>
      </c>
      <c r="O22" s="5" t="s">
        <v>19</v>
      </c>
      <c r="P22" s="5" t="str">
        <f>HYPERLINK("http://www.lghausys.co.kr/popup/rn/download/downloadPopup.jsp?from=plwindow&amp;uu=/upload/window/REPORT/A2014-0335.pdf","35등급")</f>
        <v>35등급</v>
      </c>
      <c r="Q22" s="5" t="s">
        <v>19</v>
      </c>
      <c r="R22" s="5" t="s">
        <v>19</v>
      </c>
      <c r="S22" s="5" t="s">
        <v>19</v>
      </c>
      <c r="T22" s="5" t="s">
        <v>19</v>
      </c>
      <c r="U22" s="5" t="s">
        <v>19</v>
      </c>
      <c r="V22" s="5" t="s">
        <v>19</v>
      </c>
      <c r="W22" s="5" t="s">
        <v>19</v>
      </c>
      <c r="X22" s="5">
        <v>1.5920000000000001</v>
      </c>
    </row>
    <row r="23" spans="1:24">
      <c r="A23" t="s">
        <v>18</v>
      </c>
      <c r="B23" t="s">
        <v>19</v>
      </c>
      <c r="C23" t="s">
        <v>31</v>
      </c>
      <c r="D23" t="s">
        <v>45</v>
      </c>
      <c r="E23" t="s">
        <v>19</v>
      </c>
      <c r="F23" t="s">
        <v>19</v>
      </c>
      <c r="G23" t="s">
        <v>19</v>
      </c>
      <c r="H23" t="s">
        <v>19</v>
      </c>
      <c r="I23" t="s">
        <v>19</v>
      </c>
      <c r="J23" t="s">
        <v>19</v>
      </c>
      <c r="K23" s="21" t="s">
        <v>607</v>
      </c>
      <c r="L23" s="5" t="s">
        <v>19</v>
      </c>
      <c r="M23" s="5" t="s">
        <v>19</v>
      </c>
      <c r="N23" s="5" t="s">
        <v>19</v>
      </c>
      <c r="O23" s="5" t="s">
        <v>19</v>
      </c>
      <c r="P23" s="5" t="s">
        <v>19</v>
      </c>
      <c r="Q23" s="5" t="str">
        <f>HYPERLINK("http://www.lghausys.co.kr/popup/rn/download/downloadPopup.jsp?from=plwindow&amp;uu=/upload/window/REPORT/A2014-0336.pdf","150등급")</f>
        <v>150등급</v>
      </c>
      <c r="R23" s="5" t="s">
        <v>19</v>
      </c>
      <c r="S23" s="5" t="s">
        <v>19</v>
      </c>
      <c r="T23" s="5" t="s">
        <v>19</v>
      </c>
      <c r="U23" s="5" t="s">
        <v>19</v>
      </c>
      <c r="V23" s="5" t="s">
        <v>19</v>
      </c>
      <c r="W23" s="5" t="s">
        <v>19</v>
      </c>
      <c r="X23" s="5">
        <v>1.387</v>
      </c>
    </row>
    <row r="24" spans="1:24">
      <c r="A24" t="s">
        <v>36</v>
      </c>
      <c r="B24" t="s">
        <v>19</v>
      </c>
      <c r="C24" t="s">
        <v>34</v>
      </c>
      <c r="D24" t="s">
        <v>46</v>
      </c>
      <c r="E24" t="s">
        <v>47</v>
      </c>
      <c r="F24" t="s">
        <v>19</v>
      </c>
      <c r="G24" t="s">
        <v>19</v>
      </c>
      <c r="H24" t="s">
        <v>19</v>
      </c>
      <c r="I24" t="s">
        <v>19</v>
      </c>
      <c r="J24" t="s">
        <v>19</v>
      </c>
      <c r="K24" s="21" t="s">
        <v>607</v>
      </c>
      <c r="L24" s="5" t="s">
        <v>19</v>
      </c>
      <c r="M24" s="5" t="s">
        <v>19</v>
      </c>
      <c r="N24" s="5" t="str">
        <f>HYPERLINK("http://www.lghausys.co.kr/popup/rn/download/downloadPopup.jsp?from=plwindow&amp;uu=/upload/window/REPORT/AK2011-0043.pdf","1.459")</f>
        <v>1.459</v>
      </c>
      <c r="O24" s="5" t="s">
        <v>19</v>
      </c>
      <c r="P24" s="5" t="s">
        <v>19</v>
      </c>
      <c r="Q24" s="5" t="s">
        <v>19</v>
      </c>
      <c r="R24" s="5" t="s">
        <v>19</v>
      </c>
      <c r="S24" s="5" t="s">
        <v>19</v>
      </c>
      <c r="T24" s="5" t="s">
        <v>19</v>
      </c>
      <c r="U24" s="5" t="s">
        <v>19</v>
      </c>
      <c r="V24" s="5" t="s">
        <v>19</v>
      </c>
      <c r="W24" s="5" t="s">
        <v>19</v>
      </c>
      <c r="X24" s="5">
        <v>1.258</v>
      </c>
    </row>
    <row r="25" spans="1:24">
      <c r="A25" t="s">
        <v>19</v>
      </c>
      <c r="B25" t="s">
        <v>48</v>
      </c>
      <c r="C25" t="s">
        <v>34</v>
      </c>
      <c r="D25" t="s">
        <v>28</v>
      </c>
      <c r="E25" t="s">
        <v>19</v>
      </c>
      <c r="F25" t="s">
        <v>19</v>
      </c>
      <c r="G25" t="s">
        <v>19</v>
      </c>
      <c r="H25" t="s">
        <v>28</v>
      </c>
      <c r="I25" t="s">
        <v>19</v>
      </c>
      <c r="J25" t="s">
        <v>19</v>
      </c>
      <c r="K25" s="21" t="s">
        <v>607</v>
      </c>
      <c r="L25" s="5" t="s">
        <v>19</v>
      </c>
      <c r="M25" s="5" t="s">
        <v>19</v>
      </c>
      <c r="N25" s="5" t="str">
        <f>HYPERLINK("http://www.lghausys.co.kr/popup/rn/download/downloadPopup.jsp?from=plwindow&amp;uu=/upload/window/REPORT/AK2013-0080.pdf","0.814")</f>
        <v>0.814</v>
      </c>
      <c r="O25" s="5" t="s">
        <v>19</v>
      </c>
      <c r="P25" s="5" t="s">
        <v>19</v>
      </c>
      <c r="Q25" s="5" t="s">
        <v>19</v>
      </c>
      <c r="R25" s="5" t="s">
        <v>19</v>
      </c>
      <c r="S25" s="5" t="s">
        <v>19</v>
      </c>
      <c r="T25" s="5" t="s">
        <v>19</v>
      </c>
      <c r="U25" s="5" t="s">
        <v>19</v>
      </c>
      <c r="V25" s="5" t="s">
        <v>19</v>
      </c>
      <c r="W25" s="5" t="s">
        <v>19</v>
      </c>
      <c r="X25" s="5">
        <v>1.468</v>
      </c>
    </row>
    <row r="26" spans="1:24">
      <c r="A26" t="s">
        <v>19</v>
      </c>
      <c r="B26" t="s">
        <v>49</v>
      </c>
      <c r="C26" t="s">
        <v>34</v>
      </c>
      <c r="D26" t="s">
        <v>28</v>
      </c>
      <c r="E26" t="s">
        <v>19</v>
      </c>
      <c r="F26" t="s">
        <v>19</v>
      </c>
      <c r="G26" t="s">
        <v>19</v>
      </c>
      <c r="H26" t="s">
        <v>19</v>
      </c>
      <c r="I26" t="s">
        <v>19</v>
      </c>
      <c r="J26" t="s">
        <v>19</v>
      </c>
      <c r="K26" s="21" t="s">
        <v>607</v>
      </c>
      <c r="L26" s="5" t="s">
        <v>19</v>
      </c>
      <c r="M26" s="5" t="s">
        <v>19</v>
      </c>
      <c r="N26" s="5" t="str">
        <f>HYPERLINK("http://www.lghausys.co.kr/popup/rn/download/downloadPopup.jsp?from=plwindow&amp;uu=/upload/window/REPORT/AK2013-0081.pdf","1.792")</f>
        <v>1.792</v>
      </c>
      <c r="O26" s="5" t="s">
        <v>19</v>
      </c>
      <c r="P26" s="5" t="s">
        <v>19</v>
      </c>
      <c r="Q26" s="5" t="s">
        <v>19</v>
      </c>
      <c r="R26" s="5" t="s">
        <v>19</v>
      </c>
      <c r="S26" s="5" t="s">
        <v>19</v>
      </c>
      <c r="T26" s="5" t="s">
        <v>19</v>
      </c>
      <c r="U26" s="5" t="s">
        <v>19</v>
      </c>
      <c r="V26" s="5" t="s">
        <v>19</v>
      </c>
      <c r="W26" s="5" t="s">
        <v>19</v>
      </c>
      <c r="X26" s="5">
        <v>1.153</v>
      </c>
    </row>
    <row r="27" spans="1:24">
      <c r="A27" t="s">
        <v>50</v>
      </c>
      <c r="B27" t="s">
        <v>19</v>
      </c>
      <c r="C27" t="s">
        <v>24</v>
      </c>
      <c r="D27" t="s">
        <v>19</v>
      </c>
      <c r="E27" t="s">
        <v>19</v>
      </c>
      <c r="F27" t="s">
        <v>19</v>
      </c>
      <c r="G27" t="s">
        <v>19</v>
      </c>
      <c r="H27" t="s">
        <v>19</v>
      </c>
      <c r="I27" t="s">
        <v>19</v>
      </c>
      <c r="J27" t="s">
        <v>19</v>
      </c>
      <c r="K27" s="21" t="s">
        <v>607</v>
      </c>
      <c r="L27" s="5" t="s">
        <v>19</v>
      </c>
      <c r="M27" s="5" t="s">
        <v>19</v>
      </c>
      <c r="N27" s="5" t="s">
        <v>19</v>
      </c>
      <c r="O27" s="5" t="s">
        <v>19</v>
      </c>
      <c r="P27" s="5" t="s">
        <v>19</v>
      </c>
      <c r="Q27" s="5" t="s">
        <v>19</v>
      </c>
      <c r="R27" s="5" t="str">
        <f>HYPERLINK("http://www.lghausys.co.kr/popup/rn/download/downloadPopup.jsp?from=plwindow&amp;uu=/upload/window/REPORT/CT13-110159.pdf","TS30등급,STC33")</f>
        <v>TS30등급,STC33</v>
      </c>
      <c r="S27" s="5" t="s">
        <v>19</v>
      </c>
      <c r="T27" s="5" t="s">
        <v>19</v>
      </c>
      <c r="U27" s="5" t="s">
        <v>19</v>
      </c>
      <c r="V27" s="5" t="s">
        <v>19</v>
      </c>
      <c r="W27" s="5" t="s">
        <v>19</v>
      </c>
      <c r="X27" s="5">
        <v>1.724</v>
      </c>
    </row>
    <row r="28" spans="1:24">
      <c r="A28" t="s">
        <v>50</v>
      </c>
      <c r="B28" t="s">
        <v>19</v>
      </c>
      <c r="C28" t="s">
        <v>20</v>
      </c>
      <c r="D28" t="s">
        <v>51</v>
      </c>
      <c r="E28" t="s">
        <v>19</v>
      </c>
      <c r="F28" t="s">
        <v>19</v>
      </c>
      <c r="G28" t="s">
        <v>19</v>
      </c>
      <c r="H28" t="s">
        <v>19</v>
      </c>
      <c r="I28" t="s">
        <v>19</v>
      </c>
      <c r="J28" t="s">
        <v>19</v>
      </c>
      <c r="K28" s="21" t="str">
        <f>IF(X28&lt;=0.9,HYPERLINK("http://www.lxhausys.co.kr/popup/rn/download/downloadPopup.jsp?from=plwindow&amp;uu=/upload/window/REPORT/CT13-112806.pdf","1등급"),IF(X28&lt;=1.2,HYPERLINK("http://www.lxhausys.co.kr/popup/rn/download/downloadPopup.jsp?from=plwindow&amp;uu=/upload/window/REPORT/CT13-112806.pdf","2등급"),IF(X28&lt;=1.8,HYPERLINK("http://www.lxhausys.co.kr/popup/rn/download/downloadPopup.jsp?from=plwindow&amp;uu=/upload/window/REPORT/CT13-112806.pdf","3등급"),IF(X28&lt;=2.3,HYPERLINK("http://www.lxhausys.co.kr/popup/rn/download/downloadPopup.jsp?from=plwindow&amp;uu=/upload/window/REPORT/CT13-112806.pdf","4등급"),IF(X28&lt;=2.8,HYPERLINK("http://www.lxhausys.co.kr/popup/rn/download/downloadPopup.jsp?from=plwindow&amp;uu=/upload/window/REPORT/CT13-112806.pdf","5등급"),HYPERLINK("http://www.lxhausys.co.kr/popup/rn/download/downloadPopup.jsp?from=plwindow&amp;uu=/upload/window/REPORT/CT13-112806.pdf","등급외"))))))</f>
        <v>2등급</v>
      </c>
      <c r="L28" s="5">
        <v>0.998</v>
      </c>
      <c r="M28" s="5" t="s">
        <v>22</v>
      </c>
      <c r="N28" s="5" t="s">
        <v>607</v>
      </c>
      <c r="O28" s="5" t="s">
        <v>19</v>
      </c>
      <c r="P28" s="5" t="s">
        <v>19</v>
      </c>
      <c r="Q28" s="5" t="s">
        <v>19</v>
      </c>
      <c r="R28" s="5" t="s">
        <v>19</v>
      </c>
      <c r="S28" s="5" t="s">
        <v>19</v>
      </c>
      <c r="T28" s="5" t="s">
        <v>19</v>
      </c>
      <c r="U28" s="5" t="s">
        <v>19</v>
      </c>
      <c r="V28" s="5" t="s">
        <v>19</v>
      </c>
      <c r="W28" s="5" t="s">
        <v>19</v>
      </c>
      <c r="X28" s="19">
        <f>L28</f>
        <v>0.998</v>
      </c>
    </row>
    <row r="29" spans="1:24">
      <c r="A29" t="s">
        <v>50</v>
      </c>
      <c r="B29" t="s">
        <v>19</v>
      </c>
      <c r="C29" t="s">
        <v>31</v>
      </c>
      <c r="D29" t="s">
        <v>19</v>
      </c>
      <c r="E29" t="s">
        <v>19</v>
      </c>
      <c r="F29" t="s">
        <v>19</v>
      </c>
      <c r="G29" t="s">
        <v>19</v>
      </c>
      <c r="H29" t="s">
        <v>19</v>
      </c>
      <c r="I29" t="s">
        <v>19</v>
      </c>
      <c r="J29" t="s">
        <v>19</v>
      </c>
      <c r="K29" s="21" t="s">
        <v>607</v>
      </c>
      <c r="L29" s="5" t="s">
        <v>19</v>
      </c>
      <c r="M29" s="5" t="s">
        <v>19</v>
      </c>
      <c r="N29" s="5" t="s">
        <v>19</v>
      </c>
      <c r="O29" s="5" t="s">
        <v>19</v>
      </c>
      <c r="P29" s="5" t="str">
        <f>HYPERLINK("http://www.lghausys.co.kr/popup/rn/download/downloadPopup.jsp?from=plwindow&amp;uu=/upload/window/REPORT/CT13-121516.pdf","50등급")</f>
        <v>50등급</v>
      </c>
      <c r="Q29" s="5" t="str">
        <f>HYPERLINK("http://www.lghausys.co.kr/popup/rn/download/downloadPopup.jsp?from=plwindow&amp;uu=/upload/window/REPORT/CT13-121516.pdf","240등급")</f>
        <v>240등급</v>
      </c>
      <c r="R29" s="5" t="s">
        <v>19</v>
      </c>
      <c r="S29" s="5" t="s">
        <v>19</v>
      </c>
      <c r="T29" s="5" t="s">
        <v>19</v>
      </c>
      <c r="U29" s="5" t="s">
        <v>19</v>
      </c>
      <c r="V29" s="5" t="s">
        <v>19</v>
      </c>
      <c r="W29" s="5" t="s">
        <v>19</v>
      </c>
      <c r="X29" s="5">
        <v>1.075</v>
      </c>
    </row>
    <row r="30" spans="1:24">
      <c r="A30" t="s">
        <v>440</v>
      </c>
      <c r="B30" t="s">
        <v>440</v>
      </c>
      <c r="C30" t="s">
        <v>263</v>
      </c>
      <c r="D30" t="s">
        <v>19</v>
      </c>
      <c r="E30" t="s">
        <v>19</v>
      </c>
      <c r="F30" t="s">
        <v>19</v>
      </c>
      <c r="G30" t="s">
        <v>19</v>
      </c>
      <c r="H30" t="s">
        <v>19</v>
      </c>
      <c r="I30" t="s">
        <v>19</v>
      </c>
      <c r="J30" t="s">
        <v>19</v>
      </c>
      <c r="K30" s="21" t="s">
        <v>607</v>
      </c>
      <c r="L30" s="5" t="s">
        <v>19</v>
      </c>
      <c r="M30" s="5" t="s">
        <v>19</v>
      </c>
      <c r="N30" s="5" t="s">
        <v>19</v>
      </c>
      <c r="O30" s="5" t="s">
        <v>19</v>
      </c>
      <c r="P30" s="5" t="s">
        <v>19</v>
      </c>
      <c r="Q30" s="5" t="s">
        <v>19</v>
      </c>
      <c r="R30" s="5" t="s">
        <v>19</v>
      </c>
      <c r="S30" s="5" t="s">
        <v>19</v>
      </c>
      <c r="T30" s="5" t="s">
        <v>19</v>
      </c>
      <c r="U30" s="5" t="s">
        <v>19</v>
      </c>
      <c r="V30" s="5" t="str">
        <f>HYPERLINK("http://www.lghausys.co.kr/popup/rn/download/downloadPopup.jsp?from=plwindow&amp;uu=/upload/window/REPORT/CT15-099091.pdf","PASS")</f>
        <v>PASS</v>
      </c>
      <c r="W30" s="5" t="s">
        <v>19</v>
      </c>
      <c r="X30" s="5">
        <v>0.69499999999999995</v>
      </c>
    </row>
    <row r="31" spans="1:24">
      <c r="A31" t="s">
        <v>52</v>
      </c>
      <c r="B31" t="s">
        <v>19</v>
      </c>
      <c r="C31" t="s">
        <v>34</v>
      </c>
      <c r="D31" t="s">
        <v>25</v>
      </c>
      <c r="E31" t="s">
        <v>19</v>
      </c>
      <c r="F31" t="s">
        <v>19</v>
      </c>
      <c r="G31" t="s">
        <v>19</v>
      </c>
      <c r="H31" t="s">
        <v>53</v>
      </c>
      <c r="I31" t="s">
        <v>19</v>
      </c>
      <c r="J31" t="s">
        <v>19</v>
      </c>
      <c r="K31" s="21" t="s">
        <v>607</v>
      </c>
      <c r="L31" s="5" t="s">
        <v>19</v>
      </c>
      <c r="M31" s="5" t="s">
        <v>19</v>
      </c>
      <c r="N31" s="5" t="str">
        <f>HYPERLINK("http://www.lghausys.co.kr/popup/rn/download/downloadPopup.jsp?from=plwindow&amp;uu=/upload/window/REPORT/CT15-103320.pdf","0.9202")</f>
        <v>0.9202</v>
      </c>
      <c r="O31" s="5" t="s">
        <v>19</v>
      </c>
      <c r="P31" s="5" t="s">
        <v>19</v>
      </c>
      <c r="Q31" s="5" t="s">
        <v>19</v>
      </c>
      <c r="R31" s="5" t="s">
        <v>19</v>
      </c>
      <c r="S31" s="5" t="s">
        <v>19</v>
      </c>
      <c r="T31" s="5" t="s">
        <v>19</v>
      </c>
      <c r="U31" s="5" t="s">
        <v>19</v>
      </c>
      <c r="V31" s="5" t="s">
        <v>19</v>
      </c>
      <c r="W31" s="5" t="s">
        <v>19</v>
      </c>
      <c r="X31" s="5">
        <v>1.5429999999999999</v>
      </c>
    </row>
    <row r="32" spans="1:24">
      <c r="A32" t="s">
        <v>52</v>
      </c>
      <c r="B32" t="s">
        <v>19</v>
      </c>
      <c r="C32" t="s">
        <v>34</v>
      </c>
      <c r="D32" t="s">
        <v>25</v>
      </c>
      <c r="E32" t="s">
        <v>19</v>
      </c>
      <c r="F32" t="s">
        <v>19</v>
      </c>
      <c r="G32" t="s">
        <v>19</v>
      </c>
      <c r="H32" t="s">
        <v>28</v>
      </c>
      <c r="I32" t="s">
        <v>19</v>
      </c>
      <c r="J32" t="s">
        <v>19</v>
      </c>
      <c r="K32" s="21" t="s">
        <v>607</v>
      </c>
      <c r="L32" s="5" t="s">
        <v>19</v>
      </c>
      <c r="M32" s="5" t="s">
        <v>19</v>
      </c>
      <c r="N32" s="5" t="str">
        <f>HYPERLINK("http://www.lghausys.co.kr/popup/rn/download/downloadPopup.jsp?from=plwindow&amp;uu=/upload/window/REPORT/CT15-103321.pdf","1.0905")</f>
        <v>1.0905</v>
      </c>
      <c r="O32" s="5" t="s">
        <v>19</v>
      </c>
      <c r="P32" s="5" t="s">
        <v>19</v>
      </c>
      <c r="Q32" s="5" t="s">
        <v>19</v>
      </c>
      <c r="R32" s="5" t="s">
        <v>19</v>
      </c>
      <c r="S32" s="5" t="s">
        <v>19</v>
      </c>
      <c r="T32" s="5" t="s">
        <v>19</v>
      </c>
      <c r="U32" s="5" t="s">
        <v>19</v>
      </c>
      <c r="V32" s="5" t="s">
        <v>19</v>
      </c>
      <c r="W32" s="5" t="s">
        <v>19</v>
      </c>
      <c r="X32" s="5">
        <v>1.175</v>
      </c>
    </row>
    <row r="33" spans="1:24">
      <c r="A33" t="s">
        <v>27</v>
      </c>
      <c r="B33" t="s">
        <v>19</v>
      </c>
      <c r="C33" t="s">
        <v>24</v>
      </c>
      <c r="D33" t="s">
        <v>28</v>
      </c>
      <c r="E33" t="s">
        <v>54</v>
      </c>
      <c r="F33" t="s">
        <v>19</v>
      </c>
      <c r="G33" t="s">
        <v>19</v>
      </c>
      <c r="H33" t="s">
        <v>28</v>
      </c>
      <c r="I33" t="s">
        <v>19</v>
      </c>
      <c r="J33" t="s">
        <v>19</v>
      </c>
      <c r="K33" s="21" t="s">
        <v>607</v>
      </c>
      <c r="L33" s="5" t="s">
        <v>19</v>
      </c>
      <c r="M33" s="5" t="s">
        <v>19</v>
      </c>
      <c r="N33" s="5" t="s">
        <v>19</v>
      </c>
      <c r="O33" s="5" t="s">
        <v>19</v>
      </c>
      <c r="P33" s="5" t="s">
        <v>19</v>
      </c>
      <c r="Q33" s="5" t="s">
        <v>19</v>
      </c>
      <c r="R33" s="5" t="str">
        <f>HYPERLINK("http://www.lghausys.co.kr/popup/rn/download/downloadPopup.jsp?from=plwindow&amp;uu=/upload/window/REPORT/CT15-103875.pdf","TS40등급,STC43")</f>
        <v>TS40등급,STC43</v>
      </c>
      <c r="S33" s="5" t="s">
        <v>19</v>
      </c>
      <c r="T33" s="5" t="s">
        <v>19</v>
      </c>
      <c r="U33" s="5" t="s">
        <v>19</v>
      </c>
      <c r="V33" s="5" t="s">
        <v>19</v>
      </c>
      <c r="W33" s="5" t="s">
        <v>19</v>
      </c>
      <c r="X33" s="5">
        <v>1.6639999999999999</v>
      </c>
    </row>
    <row r="34" spans="1:24">
      <c r="A34" t="s">
        <v>125</v>
      </c>
      <c r="B34" t="s">
        <v>125</v>
      </c>
      <c r="C34" t="s">
        <v>263</v>
      </c>
      <c r="D34" t="s">
        <v>19</v>
      </c>
      <c r="E34" t="s">
        <v>19</v>
      </c>
      <c r="F34" t="s">
        <v>19</v>
      </c>
      <c r="G34" t="s">
        <v>19</v>
      </c>
      <c r="H34" t="s">
        <v>19</v>
      </c>
      <c r="I34" t="s">
        <v>19</v>
      </c>
      <c r="J34" t="s">
        <v>19</v>
      </c>
      <c r="K34" s="21" t="s">
        <v>607</v>
      </c>
      <c r="L34" s="5" t="s">
        <v>19</v>
      </c>
      <c r="M34" s="5" t="s">
        <v>19</v>
      </c>
      <c r="N34" s="5" t="s">
        <v>19</v>
      </c>
      <c r="O34" s="5" t="s">
        <v>19</v>
      </c>
      <c r="P34" s="5" t="s">
        <v>19</v>
      </c>
      <c r="Q34" s="5" t="s">
        <v>19</v>
      </c>
      <c r="R34" s="5" t="s">
        <v>19</v>
      </c>
      <c r="S34" s="5" t="s">
        <v>19</v>
      </c>
      <c r="T34" s="5" t="s">
        <v>19</v>
      </c>
      <c r="U34" s="5" t="s">
        <v>19</v>
      </c>
      <c r="V34" s="14" t="str">
        <f>HYPERLINK("http://www.lghausys.co.kr/popup/rn/download/downloadPopup.jsp?from=plwindow&amp;uu=/upload/window/REPORT/CT15-121853.pdf","PASS")</f>
        <v>PASS</v>
      </c>
      <c r="W34" s="5" t="s">
        <v>19</v>
      </c>
      <c r="X34" s="5">
        <v>3.0579999999999998</v>
      </c>
    </row>
    <row r="35" spans="1:24">
      <c r="A35" t="s">
        <v>52</v>
      </c>
      <c r="B35" t="s">
        <v>52</v>
      </c>
      <c r="C35" t="s">
        <v>263</v>
      </c>
      <c r="D35" t="s">
        <v>19</v>
      </c>
      <c r="E35" t="s">
        <v>19</v>
      </c>
      <c r="F35" t="s">
        <v>19</v>
      </c>
      <c r="G35" t="s">
        <v>19</v>
      </c>
      <c r="H35" t="s">
        <v>19</v>
      </c>
      <c r="I35" t="s">
        <v>19</v>
      </c>
      <c r="J35" t="s">
        <v>19</v>
      </c>
      <c r="K35" s="21" t="s">
        <v>607</v>
      </c>
      <c r="L35" s="5" t="s">
        <v>19</v>
      </c>
      <c r="M35" s="5" t="s">
        <v>19</v>
      </c>
      <c r="N35" s="5" t="s">
        <v>19</v>
      </c>
      <c r="O35" s="5" t="s">
        <v>19</v>
      </c>
      <c r="P35" s="5" t="s">
        <v>19</v>
      </c>
      <c r="Q35" s="5" t="s">
        <v>19</v>
      </c>
      <c r="R35" s="5" t="s">
        <v>19</v>
      </c>
      <c r="S35" s="5" t="s">
        <v>19</v>
      </c>
      <c r="T35" s="5" t="s">
        <v>19</v>
      </c>
      <c r="U35" s="5" t="s">
        <v>19</v>
      </c>
      <c r="V35" s="14" t="str">
        <f>HYPERLINK("http://www.lghausys.co.kr/popup/rn/download/downloadPopup.jsp?from=plwindow&amp;uu=/upload/window/REPORT/CT15-121854.pdf","PASS")</f>
        <v>PASS</v>
      </c>
      <c r="W35" s="5" t="s">
        <v>19</v>
      </c>
      <c r="X35" s="5">
        <v>1.61</v>
      </c>
    </row>
    <row r="36" spans="1:24">
      <c r="A36" t="s">
        <v>36</v>
      </c>
      <c r="B36" t="s">
        <v>19</v>
      </c>
      <c r="C36" t="s">
        <v>31</v>
      </c>
      <c r="D36" t="s">
        <v>46</v>
      </c>
      <c r="E36" t="s">
        <v>47</v>
      </c>
      <c r="F36" t="s">
        <v>19</v>
      </c>
      <c r="G36" t="s">
        <v>19</v>
      </c>
      <c r="H36" t="s">
        <v>19</v>
      </c>
      <c r="I36" t="s">
        <v>19</v>
      </c>
      <c r="J36" t="s">
        <v>19</v>
      </c>
      <c r="K36" s="21" t="s">
        <v>607</v>
      </c>
      <c r="L36" s="5" t="s">
        <v>19</v>
      </c>
      <c r="M36" s="5" t="s">
        <v>19</v>
      </c>
      <c r="N36" s="5" t="s">
        <v>19</v>
      </c>
      <c r="O36" s="5" t="str">
        <f>HYPERLINK("http://www.lghausys.co.kr/popup/rn/download/downloadPopup.jsp?from=plwindow&amp;uu=/upload/window/REPORT/G2011-0228.pdf","1등급")</f>
        <v>1등급</v>
      </c>
      <c r="P36" s="5" t="str">
        <f>HYPERLINK("http://www.lghausys.co.kr/popup/rn/download/downloadPopup.jsp?from=plwindow&amp;uu=/upload/window/REPORT/G2011-0228.pdf","50등급")</f>
        <v>50등급</v>
      </c>
      <c r="Q36" s="5" t="str">
        <f>HYPERLINK("http://www.lghausys.co.kr/popup/rn/download/downloadPopup.jsp?from=plwindow&amp;uu=/upload/window/REPORT/G2011-0228.pdf","360등급")</f>
        <v>360등급</v>
      </c>
      <c r="R36" s="5" t="s">
        <v>19</v>
      </c>
      <c r="S36" s="5" t="s">
        <v>19</v>
      </c>
      <c r="T36" s="5" t="s">
        <v>19</v>
      </c>
      <c r="U36" s="5" t="s">
        <v>19</v>
      </c>
      <c r="V36" s="5" t="s">
        <v>19</v>
      </c>
      <c r="W36" s="5" t="s">
        <v>19</v>
      </c>
      <c r="X36" s="5">
        <v>1.333</v>
      </c>
    </row>
    <row r="37" spans="1:24">
      <c r="A37" t="s">
        <v>55</v>
      </c>
      <c r="B37" t="s">
        <v>19</v>
      </c>
      <c r="C37" t="s">
        <v>24</v>
      </c>
      <c r="D37" t="s">
        <v>56</v>
      </c>
      <c r="E37" t="s">
        <v>19</v>
      </c>
      <c r="F37" t="s">
        <v>19</v>
      </c>
      <c r="G37" t="s">
        <v>19</v>
      </c>
      <c r="H37" t="s">
        <v>19</v>
      </c>
      <c r="I37" t="s">
        <v>19</v>
      </c>
      <c r="J37" t="s">
        <v>19</v>
      </c>
      <c r="K37" s="21" t="s">
        <v>607</v>
      </c>
      <c r="L37" s="5" t="s">
        <v>19</v>
      </c>
      <c r="M37" s="5" t="s">
        <v>19</v>
      </c>
      <c r="N37" s="5" t="s">
        <v>19</v>
      </c>
      <c r="O37" s="5" t="s">
        <v>19</v>
      </c>
      <c r="P37" s="5" t="s">
        <v>19</v>
      </c>
      <c r="Q37" s="5" t="s">
        <v>19</v>
      </c>
      <c r="R37" s="5" t="str">
        <f>HYPERLINK("http://www.lghausys.co.kr/popup/rn/download/downloadPopup.jsp?from=plwindow&amp;uu=/upload/window/REPORT/GK2013-0001.pdf","TS25등급,STC28")</f>
        <v>TS25등급,STC28</v>
      </c>
      <c r="S37" s="5" t="s">
        <v>19</v>
      </c>
      <c r="T37" s="5" t="s">
        <v>19</v>
      </c>
      <c r="U37" s="5" t="s">
        <v>19</v>
      </c>
      <c r="V37" s="5" t="s">
        <v>19</v>
      </c>
      <c r="W37" s="5" t="s">
        <v>19</v>
      </c>
      <c r="X37" s="5">
        <v>1.5429999999999999</v>
      </c>
    </row>
    <row r="38" spans="1:24">
      <c r="A38" t="s">
        <v>57</v>
      </c>
      <c r="B38" t="s">
        <v>58</v>
      </c>
      <c r="C38" t="s">
        <v>24</v>
      </c>
      <c r="D38" t="s">
        <v>25</v>
      </c>
      <c r="E38" t="s">
        <v>19</v>
      </c>
      <c r="F38" t="s">
        <v>19</v>
      </c>
      <c r="G38" t="s">
        <v>19</v>
      </c>
      <c r="H38" t="s">
        <v>19</v>
      </c>
      <c r="I38" t="s">
        <v>19</v>
      </c>
      <c r="J38" t="s">
        <v>19</v>
      </c>
      <c r="K38" s="21" t="s">
        <v>607</v>
      </c>
      <c r="L38" s="5" t="s">
        <v>19</v>
      </c>
      <c r="M38" s="5" t="s">
        <v>19</v>
      </c>
      <c r="N38" s="5" t="s">
        <v>19</v>
      </c>
      <c r="O38" s="5" t="s">
        <v>19</v>
      </c>
      <c r="P38" s="5" t="s">
        <v>19</v>
      </c>
      <c r="Q38" s="5" t="s">
        <v>19</v>
      </c>
      <c r="R38" s="5" t="str">
        <f>HYPERLINK("http://www.lghausys.co.kr/popup/rn/download/downloadPopup.jsp?from=plwindow&amp;uu=/upload/window/REPORT/GK2013-0360.pdf","TS30등급,STC30")</f>
        <v>TS30등급,STC30</v>
      </c>
      <c r="S38" s="5" t="s">
        <v>19</v>
      </c>
      <c r="T38" s="5" t="s">
        <v>19</v>
      </c>
      <c r="U38" s="5" t="s">
        <v>19</v>
      </c>
      <c r="V38" s="5" t="s">
        <v>19</v>
      </c>
      <c r="W38" s="5" t="s">
        <v>19</v>
      </c>
      <c r="X38" s="5">
        <v>1.159</v>
      </c>
    </row>
    <row r="39" spans="1:24">
      <c r="A39" t="s">
        <v>59</v>
      </c>
      <c r="B39" t="s">
        <v>19</v>
      </c>
      <c r="C39" t="s">
        <v>24</v>
      </c>
      <c r="D39" t="s">
        <v>25</v>
      </c>
      <c r="E39" t="s">
        <v>19</v>
      </c>
      <c r="F39" t="s">
        <v>19</v>
      </c>
      <c r="G39" t="s">
        <v>19</v>
      </c>
      <c r="H39" t="s">
        <v>19</v>
      </c>
      <c r="I39" t="s">
        <v>19</v>
      </c>
      <c r="J39" t="s">
        <v>19</v>
      </c>
      <c r="K39" s="21" t="s">
        <v>607</v>
      </c>
      <c r="L39" s="5" t="s">
        <v>19</v>
      </c>
      <c r="M39" s="5" t="s">
        <v>19</v>
      </c>
      <c r="N39" s="5" t="s">
        <v>19</v>
      </c>
      <c r="O39" s="5" t="s">
        <v>19</v>
      </c>
      <c r="P39" s="5" t="s">
        <v>19</v>
      </c>
      <c r="Q39" s="5" t="s">
        <v>19</v>
      </c>
      <c r="R39" s="5" t="str">
        <f>HYPERLINK("http://www.lghausys.co.kr/popup/rn/download/downloadPopup.jsp?from=plwindow&amp;uu=/upload/window/REPORT/GK2015-0681.pdf","TS25등급,STC24")</f>
        <v>TS25등급,STC24</v>
      </c>
      <c r="S39" s="5" t="s">
        <v>19</v>
      </c>
      <c r="T39" s="5" t="s">
        <v>19</v>
      </c>
      <c r="U39" s="5" t="s">
        <v>19</v>
      </c>
      <c r="V39" s="5" t="s">
        <v>19</v>
      </c>
      <c r="W39" s="5" t="s">
        <v>19</v>
      </c>
      <c r="X39" s="5">
        <v>1.2689999999999999</v>
      </c>
    </row>
    <row r="40" spans="1:24">
      <c r="A40" s="15" t="s">
        <v>60</v>
      </c>
      <c r="B40" s="15" t="s">
        <v>19</v>
      </c>
      <c r="C40" s="15" t="s">
        <v>24</v>
      </c>
      <c r="D40" s="15" t="s">
        <v>25</v>
      </c>
      <c r="E40" s="15" t="s">
        <v>19</v>
      </c>
      <c r="F40" s="15" t="s">
        <v>19</v>
      </c>
      <c r="G40" s="15" t="s">
        <v>19</v>
      </c>
      <c r="H40" s="15" t="s">
        <v>25</v>
      </c>
      <c r="I40" s="15" t="s">
        <v>19</v>
      </c>
      <c r="J40" s="15" t="s">
        <v>19</v>
      </c>
      <c r="K40" s="21" t="s">
        <v>607</v>
      </c>
      <c r="L40" s="14" t="s">
        <v>19</v>
      </c>
      <c r="M40" s="14" t="s">
        <v>19</v>
      </c>
      <c r="N40" s="14" t="s">
        <v>19</v>
      </c>
      <c r="O40" s="14" t="s">
        <v>19</v>
      </c>
      <c r="P40" s="14" t="s">
        <v>19</v>
      </c>
      <c r="Q40" s="14" t="s">
        <v>19</v>
      </c>
      <c r="R40" s="14" t="str">
        <f>HYPERLINK("http://www.lghausys.co.kr/popup/rn/download/downloadPopup.jsp?from=plwindow&amp;uu=/upload/window/REPORT/GK2015-0682.pdf","TS40등급,STC41")</f>
        <v>TS40등급,STC41</v>
      </c>
      <c r="S40" s="14" t="s">
        <v>19</v>
      </c>
      <c r="T40" s="14" t="s">
        <v>19</v>
      </c>
      <c r="U40" s="14" t="s">
        <v>19</v>
      </c>
      <c r="V40" s="14" t="s">
        <v>19</v>
      </c>
      <c r="W40" s="14" t="s">
        <v>19</v>
      </c>
      <c r="X40" s="5">
        <v>0.91</v>
      </c>
    </row>
    <row r="41" spans="1:24">
      <c r="A41" t="s">
        <v>61</v>
      </c>
      <c r="B41" t="s">
        <v>19</v>
      </c>
      <c r="C41" t="s">
        <v>24</v>
      </c>
      <c r="D41" t="s">
        <v>25</v>
      </c>
      <c r="E41" t="s">
        <v>19</v>
      </c>
      <c r="F41" t="s">
        <v>19</v>
      </c>
      <c r="G41" t="s">
        <v>19</v>
      </c>
      <c r="H41" t="s">
        <v>19</v>
      </c>
      <c r="I41" t="s">
        <v>19</v>
      </c>
      <c r="J41" t="s">
        <v>19</v>
      </c>
      <c r="K41" s="21" t="s">
        <v>607</v>
      </c>
      <c r="L41" s="5" t="s">
        <v>19</v>
      </c>
      <c r="M41" s="5" t="s">
        <v>19</v>
      </c>
      <c r="N41" s="5" t="s">
        <v>19</v>
      </c>
      <c r="O41" s="5" t="s">
        <v>19</v>
      </c>
      <c r="P41" s="5" t="s">
        <v>19</v>
      </c>
      <c r="Q41" s="5" t="s">
        <v>19</v>
      </c>
      <c r="R41" s="5" t="str">
        <f>HYPERLINK("http://www.lghausys.co.kr/popup/rn/download/downloadPopup.jsp?from=plwindow&amp;uu=/upload/window/REPORT/GK2015-0683.pdf","TS20등급,STC23")</f>
        <v>TS20등급,STC23</v>
      </c>
      <c r="S41" s="5" t="s">
        <v>19</v>
      </c>
      <c r="T41" s="5" t="s">
        <v>19</v>
      </c>
      <c r="U41" s="5" t="s">
        <v>19</v>
      </c>
      <c r="V41" s="5" t="s">
        <v>19</v>
      </c>
      <c r="W41" s="5" t="s">
        <v>19</v>
      </c>
      <c r="X41" s="5">
        <v>1.028</v>
      </c>
    </row>
    <row r="42" spans="1:24">
      <c r="A42" t="s">
        <v>62</v>
      </c>
      <c r="B42" t="s">
        <v>19</v>
      </c>
      <c r="C42" t="s">
        <v>24</v>
      </c>
      <c r="D42" t="s">
        <v>25</v>
      </c>
      <c r="E42" t="s">
        <v>19</v>
      </c>
      <c r="F42" t="s">
        <v>19</v>
      </c>
      <c r="G42" t="s">
        <v>19</v>
      </c>
      <c r="H42" t="s">
        <v>25</v>
      </c>
      <c r="I42" t="s">
        <v>19</v>
      </c>
      <c r="J42" t="s">
        <v>19</v>
      </c>
      <c r="K42" s="21" t="s">
        <v>607</v>
      </c>
      <c r="L42" s="5" t="s">
        <v>19</v>
      </c>
      <c r="M42" s="5" t="s">
        <v>19</v>
      </c>
      <c r="N42" s="5" t="s">
        <v>19</v>
      </c>
      <c r="O42" s="5" t="s">
        <v>19</v>
      </c>
      <c r="P42" s="5" t="s">
        <v>19</v>
      </c>
      <c r="Q42" s="5" t="s">
        <v>19</v>
      </c>
      <c r="R42" s="5" t="str">
        <f>HYPERLINK("http://www.lghausys.co.kr/popup/rn/download/downloadPopup.jsp?from=plwindow&amp;uu=/upload/window/REPORT/GK2015-0684.pdf","TS40등급,STC40")</f>
        <v>TS40등급,STC40</v>
      </c>
      <c r="S42" s="5" t="s">
        <v>19</v>
      </c>
      <c r="T42" s="5" t="s">
        <v>19</v>
      </c>
      <c r="U42" s="5" t="s">
        <v>19</v>
      </c>
      <c r="V42" s="5" t="s">
        <v>19</v>
      </c>
      <c r="W42" s="5" t="s">
        <v>19</v>
      </c>
      <c r="X42" s="5">
        <v>1.3120000000000001</v>
      </c>
    </row>
    <row r="43" spans="1:24">
      <c r="A43" t="s">
        <v>441</v>
      </c>
      <c r="B43" t="s">
        <v>19</v>
      </c>
      <c r="C43" t="s">
        <v>24</v>
      </c>
      <c r="D43" t="s">
        <v>63</v>
      </c>
      <c r="E43" t="s">
        <v>19</v>
      </c>
      <c r="F43" t="s">
        <v>19</v>
      </c>
      <c r="G43" t="s">
        <v>19</v>
      </c>
      <c r="H43" t="s">
        <v>19</v>
      </c>
      <c r="I43" t="s">
        <v>19</v>
      </c>
      <c r="J43" t="s">
        <v>19</v>
      </c>
      <c r="K43" s="21" t="s">
        <v>607</v>
      </c>
      <c r="L43" s="5" t="s">
        <v>19</v>
      </c>
      <c r="M43" s="5" t="s">
        <v>19</v>
      </c>
      <c r="N43" s="5" t="s">
        <v>19</v>
      </c>
      <c r="O43" s="5" t="s">
        <v>19</v>
      </c>
      <c r="P43" s="5" t="s">
        <v>19</v>
      </c>
      <c r="Q43" s="5" t="s">
        <v>19</v>
      </c>
      <c r="R43" s="5" t="str">
        <f>HYPERLINK("http://www.lghausys.co.kr/popup/rn/download/downloadPopup.jsp?from=plwindow&amp;uu=/upload/window/REPORT/GK2016-0191.pdf","TS30등급,STC31")</f>
        <v>TS30등급,STC31</v>
      </c>
      <c r="S43" s="5" t="s">
        <v>19</v>
      </c>
      <c r="T43" s="5" t="s">
        <v>19</v>
      </c>
      <c r="U43" s="5" t="s">
        <v>19</v>
      </c>
      <c r="V43" s="5" t="s">
        <v>19</v>
      </c>
      <c r="W43" s="5" t="s">
        <v>19</v>
      </c>
      <c r="X43" s="5">
        <v>1.976</v>
      </c>
    </row>
    <row r="44" spans="1:24">
      <c r="A44" t="s">
        <v>30</v>
      </c>
      <c r="B44" t="s">
        <v>19</v>
      </c>
      <c r="C44" t="s">
        <v>34</v>
      </c>
      <c r="D44" t="s">
        <v>25</v>
      </c>
      <c r="E44" t="s">
        <v>19</v>
      </c>
      <c r="F44" t="s">
        <v>19</v>
      </c>
      <c r="G44" t="s">
        <v>19</v>
      </c>
      <c r="H44" t="s">
        <v>64</v>
      </c>
      <c r="I44" t="s">
        <v>19</v>
      </c>
      <c r="J44" t="s">
        <v>19</v>
      </c>
      <c r="K44" s="21" t="s">
        <v>607</v>
      </c>
      <c r="L44" s="5" t="s">
        <v>19</v>
      </c>
      <c r="M44" s="5" t="s">
        <v>19</v>
      </c>
      <c r="N44" s="5" t="str">
        <f>HYPERLINK("http://www.lghausys.co.kr/popup/rn/download/downloadPopup.jsp?from=plwindow&amp;uu=/upload/window/REPORT/KICT-R-K-2014-00561-1-2.pdf","0.89")</f>
        <v>0.89</v>
      </c>
      <c r="O44" s="5" t="s">
        <v>19</v>
      </c>
      <c r="P44" s="5" t="s">
        <v>19</v>
      </c>
      <c r="Q44" s="5" t="s">
        <v>19</v>
      </c>
      <c r="R44" s="5" t="s">
        <v>19</v>
      </c>
      <c r="S44" s="5" t="s">
        <v>19</v>
      </c>
      <c r="T44" s="5" t="s">
        <v>19</v>
      </c>
      <c r="U44" s="5" t="s">
        <v>19</v>
      </c>
      <c r="V44" s="5" t="s">
        <v>19</v>
      </c>
      <c r="W44" s="5" t="s">
        <v>19</v>
      </c>
      <c r="X44" s="5">
        <v>1.006</v>
      </c>
    </row>
    <row r="45" spans="1:24">
      <c r="A45" t="s">
        <v>27</v>
      </c>
      <c r="B45" t="s">
        <v>19</v>
      </c>
      <c r="C45" t="s">
        <v>20</v>
      </c>
      <c r="D45" t="s">
        <v>25</v>
      </c>
      <c r="E45" t="s">
        <v>65</v>
      </c>
      <c r="F45" t="s">
        <v>19</v>
      </c>
      <c r="G45" t="s">
        <v>19</v>
      </c>
      <c r="H45" t="s">
        <v>25</v>
      </c>
      <c r="I45" t="s">
        <v>19</v>
      </c>
      <c r="J45" t="s">
        <v>19</v>
      </c>
      <c r="K45" s="21" t="str">
        <f>IF(X45&lt;=0.9,HYPERLINK("http://www.lxhausys.co.kr/popup/rn/download/downloadPopup.jsp?from=plwindow&amp;uu=/upload/window/REPORT/KICT-R-K-2014-00909-1-2.pdf","1등급"),IF(X45&lt;=1.2,HYPERLINK("http://www.lxhausys.co.kr/popup/rn/download/downloadPopup.jsp?from=plwindow&amp;uu=/upload/window/REPORT/KICT-R-K-2014-00909-1-2.pdf","2등급"),IF(X45&lt;=1.8,HYPERLINK("http://www.lxhausys.co.kr/popup/rn/download/downloadPopup.jsp?from=plwindow&amp;uu=/upload/window/REPORT/KICT-R-K-2014-00909-1-2.pdf","3등급"),IF(X45&lt;=2.3,HYPERLINK("http://www.lxhausys.co.kr/popup/rn/download/downloadPopup.jsp?from=plwindow&amp;uu=/upload/window/REPORT/KICT-R-K-2014-00909-1-2.pdf","4등급"),IF(X45&lt;=2.8,HYPERLINK("http://www.lxhausys.co.kr/popup/rn/download/downloadPopup.jsp?from=plwindow&amp;uu=/upload/window/REPORT/KICT-R-K-2014-00909-1-2.pdf","5등급"),HYPERLINK("http://www.lxhausys.co.kr/popup/rn/download/downloadPopup.jsp?from=plwindow&amp;uu=/upload/window/REPORT/KICT-R-K-2014-00909-1-2.pdf","등급외"))))))</f>
        <v>2등급</v>
      </c>
      <c r="L45" s="5">
        <v>1.0900000000000001</v>
      </c>
      <c r="M45" s="5" t="s">
        <v>22</v>
      </c>
      <c r="N45" s="5" t="s">
        <v>607</v>
      </c>
      <c r="O45" s="5" t="s">
        <v>19</v>
      </c>
      <c r="P45" s="5" t="s">
        <v>19</v>
      </c>
      <c r="Q45" s="5" t="s">
        <v>19</v>
      </c>
      <c r="R45" s="5" t="s">
        <v>19</v>
      </c>
      <c r="S45" s="5" t="s">
        <v>19</v>
      </c>
      <c r="T45" s="5" t="s">
        <v>19</v>
      </c>
      <c r="U45" s="5" t="s">
        <v>19</v>
      </c>
      <c r="V45" s="5" t="s">
        <v>19</v>
      </c>
      <c r="W45" s="5" t="s">
        <v>19</v>
      </c>
      <c r="X45" s="19">
        <f>L45</f>
        <v>1.0900000000000001</v>
      </c>
    </row>
    <row r="46" spans="1:24">
      <c r="A46" t="s">
        <v>30</v>
      </c>
      <c r="B46" t="s">
        <v>19</v>
      </c>
      <c r="C46" t="s">
        <v>24</v>
      </c>
      <c r="D46" t="s">
        <v>25</v>
      </c>
      <c r="E46" t="s">
        <v>19</v>
      </c>
      <c r="F46" t="s">
        <v>19</v>
      </c>
      <c r="G46" t="s">
        <v>19</v>
      </c>
      <c r="H46" t="s">
        <v>28</v>
      </c>
      <c r="I46" t="s">
        <v>19</v>
      </c>
      <c r="J46" t="s">
        <v>19</v>
      </c>
      <c r="K46" s="21" t="s">
        <v>607</v>
      </c>
      <c r="L46" s="5" t="s">
        <v>19</v>
      </c>
      <c r="M46" s="5" t="s">
        <v>19</v>
      </c>
      <c r="N46" s="5" t="s">
        <v>19</v>
      </c>
      <c r="O46" s="5" t="s">
        <v>19</v>
      </c>
      <c r="P46" s="5" t="s">
        <v>19</v>
      </c>
      <c r="Q46" s="5" t="s">
        <v>19</v>
      </c>
      <c r="R46" s="5" t="str">
        <f>HYPERLINK("http://www.lghausys.co.kr/popup/rn/download/downloadPopup.jsp?from=plwindow&amp;uu=/upload/window/REPORT/KICT-R-K-2014-02183-1.pdf","TS40등급,STC41")</f>
        <v>TS40등급,STC41</v>
      </c>
      <c r="S46" s="5" t="s">
        <v>19</v>
      </c>
      <c r="T46" s="5" t="s">
        <v>19</v>
      </c>
      <c r="U46" s="5" t="s">
        <v>19</v>
      </c>
      <c r="V46" s="5" t="s">
        <v>19</v>
      </c>
      <c r="W46" s="5" t="s">
        <v>19</v>
      </c>
      <c r="X46" s="5">
        <v>1.631</v>
      </c>
    </row>
    <row r="47" spans="1:24">
      <c r="A47" t="s">
        <v>19</v>
      </c>
      <c r="B47" t="s">
        <v>48</v>
      </c>
      <c r="C47" t="s">
        <v>24</v>
      </c>
      <c r="D47" t="s">
        <v>53</v>
      </c>
      <c r="E47" t="s">
        <v>19</v>
      </c>
      <c r="F47" t="s">
        <v>19</v>
      </c>
      <c r="G47" t="s">
        <v>19</v>
      </c>
      <c r="H47" t="s">
        <v>53</v>
      </c>
      <c r="I47" t="s">
        <v>19</v>
      </c>
      <c r="J47" t="s">
        <v>19</v>
      </c>
      <c r="K47" s="21" t="s">
        <v>607</v>
      </c>
      <c r="L47" s="5" t="s">
        <v>19</v>
      </c>
      <c r="M47" s="5" t="s">
        <v>19</v>
      </c>
      <c r="N47" s="5" t="s">
        <v>19</v>
      </c>
      <c r="O47" s="5" t="s">
        <v>19</v>
      </c>
      <c r="P47" s="5" t="s">
        <v>19</v>
      </c>
      <c r="Q47" s="5" t="s">
        <v>19</v>
      </c>
      <c r="R47" s="5" t="str">
        <f>HYPERLINK("http://www.lghausys.co.kr/popup/rn/download/downloadPopup.jsp?from=plwindow&amp;uu=/upload/window/REPORT/KICT-R-K-2014-02185-1.pdf","TS30등급,STC33")</f>
        <v>TS30등급,STC33</v>
      </c>
      <c r="S47" s="5" t="s">
        <v>19</v>
      </c>
      <c r="T47" s="5" t="s">
        <v>19</v>
      </c>
      <c r="U47" s="5" t="s">
        <v>19</v>
      </c>
      <c r="V47" s="5" t="s">
        <v>19</v>
      </c>
      <c r="W47" s="5" t="s">
        <v>19</v>
      </c>
      <c r="X47" s="5">
        <v>0.97199999999999998</v>
      </c>
    </row>
    <row r="48" spans="1:24">
      <c r="A48" t="s">
        <v>27</v>
      </c>
      <c r="B48" t="s">
        <v>19</v>
      </c>
      <c r="C48" t="s">
        <v>24</v>
      </c>
      <c r="D48" t="s">
        <v>66</v>
      </c>
      <c r="E48" t="s">
        <v>67</v>
      </c>
      <c r="F48" t="s">
        <v>19</v>
      </c>
      <c r="G48" t="s">
        <v>19</v>
      </c>
      <c r="H48" t="s">
        <v>68</v>
      </c>
      <c r="I48" t="s">
        <v>19</v>
      </c>
      <c r="J48" t="s">
        <v>19</v>
      </c>
      <c r="K48" s="21" t="s">
        <v>607</v>
      </c>
      <c r="L48" s="5" t="s">
        <v>19</v>
      </c>
      <c r="M48" s="5" t="s">
        <v>19</v>
      </c>
      <c r="N48" s="5" t="s">
        <v>19</v>
      </c>
      <c r="O48" s="5" t="s">
        <v>19</v>
      </c>
      <c r="P48" s="5" t="s">
        <v>19</v>
      </c>
      <c r="Q48" s="5" t="s">
        <v>19</v>
      </c>
      <c r="R48" s="5" t="str">
        <f>HYPERLINK("http://www.lghausys.co.kr/popup/rn/download/downloadPopup.jsp?from=plwindow&amp;uu=/upload/window/REPORT/KICT-R-K-2015-00175-1.pdf","TS40등급,STC41")</f>
        <v>TS40등급,STC41</v>
      </c>
      <c r="S48" s="5" t="s">
        <v>19</v>
      </c>
      <c r="T48" s="5" t="s">
        <v>19</v>
      </c>
      <c r="U48" s="5" t="s">
        <v>19</v>
      </c>
      <c r="V48" s="5" t="s">
        <v>19</v>
      </c>
      <c r="W48" s="5" t="s">
        <v>19</v>
      </c>
      <c r="X48" s="5">
        <v>0.91200000000000003</v>
      </c>
    </row>
    <row r="49" spans="1:24">
      <c r="A49" t="s">
        <v>30</v>
      </c>
      <c r="B49" t="s">
        <v>19</v>
      </c>
      <c r="C49" t="s">
        <v>24</v>
      </c>
      <c r="D49" t="s">
        <v>66</v>
      </c>
      <c r="E49" t="s">
        <v>19</v>
      </c>
      <c r="F49" t="s">
        <v>19</v>
      </c>
      <c r="G49" t="s">
        <v>19</v>
      </c>
      <c r="H49" t="s">
        <v>41</v>
      </c>
      <c r="I49" t="s">
        <v>19</v>
      </c>
      <c r="J49" t="s">
        <v>19</v>
      </c>
      <c r="K49" s="21" t="s">
        <v>607</v>
      </c>
      <c r="L49" s="5" t="s">
        <v>19</v>
      </c>
      <c r="M49" s="5" t="s">
        <v>19</v>
      </c>
      <c r="N49" s="5" t="s">
        <v>19</v>
      </c>
      <c r="O49" s="5" t="s">
        <v>19</v>
      </c>
      <c r="P49" s="5" t="s">
        <v>19</v>
      </c>
      <c r="Q49" s="5" t="s">
        <v>19</v>
      </c>
      <c r="R49" s="5" t="str">
        <f>HYPERLINK("http://www.lghausys.co.kr/popup/rn/download/downloadPopup.jsp?from=plwindow&amp;uu=/upload/window/REPORT/KICT-R-K-2015-00177-1.pdf","TS40등급,STC40")</f>
        <v>TS40등급,STC40</v>
      </c>
      <c r="S49" s="5" t="s">
        <v>19</v>
      </c>
      <c r="T49" s="5" t="s">
        <v>19</v>
      </c>
      <c r="U49" s="5" t="s">
        <v>19</v>
      </c>
      <c r="V49" s="5" t="s">
        <v>19</v>
      </c>
      <c r="W49" s="5" t="s">
        <v>19</v>
      </c>
      <c r="X49" s="5">
        <v>0.65300000000000002</v>
      </c>
    </row>
    <row r="50" spans="1:24">
      <c r="A50" t="s">
        <v>69</v>
      </c>
      <c r="B50" t="s">
        <v>19</v>
      </c>
      <c r="C50" t="s">
        <v>24</v>
      </c>
      <c r="D50" t="s">
        <v>70</v>
      </c>
      <c r="E50" t="s">
        <v>19</v>
      </c>
      <c r="F50" t="s">
        <v>19</v>
      </c>
      <c r="G50" t="s">
        <v>19</v>
      </c>
      <c r="H50" t="s">
        <v>19</v>
      </c>
      <c r="I50" t="s">
        <v>19</v>
      </c>
      <c r="J50" t="s">
        <v>19</v>
      </c>
      <c r="K50" s="21" t="s">
        <v>607</v>
      </c>
      <c r="L50" s="5" t="s">
        <v>19</v>
      </c>
      <c r="M50" s="5" t="s">
        <v>19</v>
      </c>
      <c r="N50" s="5" t="s">
        <v>19</v>
      </c>
      <c r="O50" s="5" t="s">
        <v>19</v>
      </c>
      <c r="P50" s="5" t="s">
        <v>19</v>
      </c>
      <c r="Q50" s="5" t="s">
        <v>19</v>
      </c>
      <c r="R50" s="5" t="str">
        <f>HYPERLINK("http://www.lghausys.co.kr/popup/rn/download/downloadPopup.jsp?from=plwindow&amp;uu=/upload/window/REPORT/KICT-R-K-2015-00821-1.pdf","TS30등급,STC32")</f>
        <v>TS30등급,STC32</v>
      </c>
      <c r="S50" s="5" t="s">
        <v>19</v>
      </c>
      <c r="T50" s="5" t="s">
        <v>19</v>
      </c>
      <c r="U50" s="5" t="s">
        <v>19</v>
      </c>
      <c r="V50" s="5" t="s">
        <v>19</v>
      </c>
      <c r="W50" s="5" t="s">
        <v>19</v>
      </c>
      <c r="X50" s="5">
        <v>1.274</v>
      </c>
    </row>
    <row r="51" spans="1:24">
      <c r="A51" t="s">
        <v>19</v>
      </c>
      <c r="B51" t="s">
        <v>71</v>
      </c>
      <c r="C51" t="s">
        <v>34</v>
      </c>
      <c r="D51" t="s">
        <v>25</v>
      </c>
      <c r="E51" t="s">
        <v>19</v>
      </c>
      <c r="F51" t="s">
        <v>19</v>
      </c>
      <c r="G51" t="s">
        <v>19</v>
      </c>
      <c r="H51" t="s">
        <v>25</v>
      </c>
      <c r="I51" t="s">
        <v>19</v>
      </c>
      <c r="J51" t="s">
        <v>19</v>
      </c>
      <c r="K51" s="21" t="s">
        <v>607</v>
      </c>
      <c r="L51" s="5" t="s">
        <v>19</v>
      </c>
      <c r="M51" s="5" t="s">
        <v>19</v>
      </c>
      <c r="N51" s="5" t="str">
        <f>HYPERLINK("http://www.lghausys.co.kr/popup/rn/download/downloadPopup.jsp?from=plwindow&amp;uu=/upload/window/REPORT/KICT-R-K-2015-00976-1-2.pdf","1.25")</f>
        <v>1.25</v>
      </c>
      <c r="O51" s="5" t="s">
        <v>19</v>
      </c>
      <c r="P51" s="5" t="s">
        <v>19</v>
      </c>
      <c r="Q51" s="5" t="s">
        <v>19</v>
      </c>
      <c r="R51" s="5" t="s">
        <v>19</v>
      </c>
      <c r="S51" s="5" t="s">
        <v>19</v>
      </c>
      <c r="T51" s="5" t="s">
        <v>19</v>
      </c>
      <c r="U51" s="5" t="s">
        <v>19</v>
      </c>
      <c r="V51" s="5" t="s">
        <v>19</v>
      </c>
      <c r="W51" s="5" t="s">
        <v>19</v>
      </c>
      <c r="X51" s="5">
        <v>0.93400000000000005</v>
      </c>
    </row>
    <row r="52" spans="1:24">
      <c r="A52" t="s">
        <v>72</v>
      </c>
      <c r="B52" t="s">
        <v>19</v>
      </c>
      <c r="C52" t="s">
        <v>24</v>
      </c>
      <c r="D52" t="s">
        <v>68</v>
      </c>
      <c r="E52" t="s">
        <v>19</v>
      </c>
      <c r="F52" t="s">
        <v>19</v>
      </c>
      <c r="G52" t="s">
        <v>19</v>
      </c>
      <c r="H52" t="s">
        <v>19</v>
      </c>
      <c r="I52" t="s">
        <v>19</v>
      </c>
      <c r="J52" t="s">
        <v>19</v>
      </c>
      <c r="K52" s="21" t="s">
        <v>607</v>
      </c>
      <c r="L52" s="5" t="s">
        <v>19</v>
      </c>
      <c r="M52" s="5" t="s">
        <v>19</v>
      </c>
      <c r="N52" s="5" t="s">
        <v>19</v>
      </c>
      <c r="O52" s="5" t="s">
        <v>19</v>
      </c>
      <c r="P52" s="5" t="s">
        <v>19</v>
      </c>
      <c r="Q52" s="5" t="s">
        <v>19</v>
      </c>
      <c r="R52" s="5" t="str">
        <f>HYPERLINK("http://www.lghausys.co.kr/popup/rn/download/downloadPopup.jsp?from=plwindow&amp;uu=/upload/window/REPORT/KICT-R-K-2016-02113-1-1.pdf","TS25등급,STC28")</f>
        <v>TS25등급,STC28</v>
      </c>
      <c r="S52" s="5" t="s">
        <v>19</v>
      </c>
      <c r="T52" s="5" t="s">
        <v>19</v>
      </c>
      <c r="U52" s="5" t="s">
        <v>19</v>
      </c>
      <c r="V52" s="5" t="s">
        <v>19</v>
      </c>
      <c r="W52" s="5" t="s">
        <v>19</v>
      </c>
      <c r="X52" s="5">
        <v>1.0469999999999999</v>
      </c>
    </row>
    <row r="53" spans="1:24">
      <c r="A53" t="s">
        <v>23</v>
      </c>
      <c r="B53" t="s">
        <v>19</v>
      </c>
      <c r="C53" t="s">
        <v>31</v>
      </c>
      <c r="D53" t="s">
        <v>25</v>
      </c>
      <c r="E53" t="s">
        <v>19</v>
      </c>
      <c r="F53" t="s">
        <v>19</v>
      </c>
      <c r="G53" t="s">
        <v>19</v>
      </c>
      <c r="H53" t="s">
        <v>26</v>
      </c>
      <c r="I53" t="s">
        <v>19</v>
      </c>
      <c r="J53" t="s">
        <v>19</v>
      </c>
      <c r="K53" s="21" t="s">
        <v>607</v>
      </c>
      <c r="L53" s="5" t="s">
        <v>19</v>
      </c>
      <c r="M53" s="5" t="s">
        <v>19</v>
      </c>
      <c r="N53" s="5" t="s">
        <v>19</v>
      </c>
      <c r="O53" s="5" t="str">
        <f>HYPERLINK("http://www.lghausys.co.kr/popup/rn/download/downloadPopup.jsp?from=plwindow&amp;uu=/upload/window/REPORT/KIER-10-0206.pdf","1등급")</f>
        <v>1등급</v>
      </c>
      <c r="P53" s="5" t="str">
        <f>HYPERLINK("http://www.lghausys.co.kr/popup/rn/download/downloadPopup.jsp?from=plwindow&amp;uu=/upload/window/REPORT/KIER-10-0206.pdf","50등급")</f>
        <v>50등급</v>
      </c>
      <c r="Q53" s="5" t="str">
        <f>HYPERLINK("http://www.lghausys.co.kr/popup/rn/download/downloadPopup.jsp?from=plwindow&amp;uu=/upload/window/REPORT/KIER-10-0206.pdf","350등급")</f>
        <v>350등급</v>
      </c>
      <c r="R53" s="5" t="s">
        <v>19</v>
      </c>
      <c r="S53" s="5" t="s">
        <v>19</v>
      </c>
      <c r="T53" s="5" t="s">
        <v>19</v>
      </c>
      <c r="U53" s="5" t="s">
        <v>19</v>
      </c>
      <c r="V53" s="5" t="s">
        <v>19</v>
      </c>
      <c r="W53" s="5" t="s">
        <v>19</v>
      </c>
      <c r="X53" s="5">
        <v>1.147</v>
      </c>
    </row>
    <row r="54" spans="1:24">
      <c r="A54" t="s">
        <v>30</v>
      </c>
      <c r="B54" t="s">
        <v>19</v>
      </c>
      <c r="C54" t="s">
        <v>34</v>
      </c>
      <c r="D54" t="s">
        <v>25</v>
      </c>
      <c r="E54" t="s">
        <v>19</v>
      </c>
      <c r="F54" t="s">
        <v>19</v>
      </c>
      <c r="G54" t="s">
        <v>19</v>
      </c>
      <c r="H54" t="s">
        <v>41</v>
      </c>
      <c r="I54" t="s">
        <v>19</v>
      </c>
      <c r="J54" t="s">
        <v>19</v>
      </c>
      <c r="K54" s="21" t="s">
        <v>607</v>
      </c>
      <c r="L54" s="5" t="s">
        <v>19</v>
      </c>
      <c r="M54" s="5" t="s">
        <v>19</v>
      </c>
      <c r="N54" s="5" t="str">
        <f>HYPERLINK("http://www.lghausys.co.kr/popup/rn/download/downloadPopup.jsp?from=plwindow&amp;uu=/upload/window/REPORT/KIER-11-0197.pdf","1.223")</f>
        <v>1.223</v>
      </c>
      <c r="O54" s="5" t="s">
        <v>19</v>
      </c>
      <c r="P54" s="5" t="s">
        <v>19</v>
      </c>
      <c r="Q54" s="5" t="s">
        <v>19</v>
      </c>
      <c r="R54" s="5" t="s">
        <v>19</v>
      </c>
      <c r="S54" s="5" t="s">
        <v>19</v>
      </c>
      <c r="T54" s="5" t="s">
        <v>19</v>
      </c>
      <c r="U54" s="5" t="s">
        <v>19</v>
      </c>
      <c r="V54" s="5" t="s">
        <v>19</v>
      </c>
      <c r="W54" s="5" t="s">
        <v>19</v>
      </c>
      <c r="X54" s="5">
        <v>1.3049999999999999</v>
      </c>
    </row>
    <row r="55" spans="1:24">
      <c r="A55" t="s">
        <v>52</v>
      </c>
      <c r="B55" t="s">
        <v>19</v>
      </c>
      <c r="C55" t="s">
        <v>14</v>
      </c>
      <c r="D55" t="s">
        <v>25</v>
      </c>
      <c r="E55" t="s">
        <v>19</v>
      </c>
      <c r="F55" t="s">
        <v>19</v>
      </c>
      <c r="G55" t="s">
        <v>19</v>
      </c>
      <c r="H55" t="s">
        <v>28</v>
      </c>
      <c r="I55" t="s">
        <v>19</v>
      </c>
      <c r="J55" t="s">
        <v>19</v>
      </c>
      <c r="K55" s="21" t="s">
        <v>607</v>
      </c>
      <c r="L55" s="5" t="s">
        <v>19</v>
      </c>
      <c r="M55" s="5" t="s">
        <v>19</v>
      </c>
      <c r="N55" s="5" t="s">
        <v>19</v>
      </c>
      <c r="O55" s="5" t="s">
        <v>19</v>
      </c>
      <c r="P55" s="5" t="s">
        <v>19</v>
      </c>
      <c r="Q55" s="5" t="s">
        <v>19</v>
      </c>
      <c r="R55" s="5" t="s">
        <v>19</v>
      </c>
      <c r="S55" s="5" t="s">
        <v>19</v>
      </c>
      <c r="T55" s="5" t="str">
        <f>HYPERLINK("http://www.lghausys.co.kr/popup/rn/download/downloadPopup.jsp?from=plwindow&amp;uu=/upload/window/REPORT/LGH-DA15-007.pdf","결로발생없음")</f>
        <v>결로발생없음</v>
      </c>
      <c r="U55" s="5" t="s">
        <v>19</v>
      </c>
      <c r="V55" s="5" t="s">
        <v>19</v>
      </c>
      <c r="W55" s="5" t="s">
        <v>19</v>
      </c>
      <c r="X55" s="5">
        <v>1.274</v>
      </c>
    </row>
    <row r="56" spans="1:24">
      <c r="A56" t="s">
        <v>62</v>
      </c>
      <c r="B56" t="s">
        <v>19</v>
      </c>
      <c r="C56" t="s">
        <v>15</v>
      </c>
      <c r="D56" t="s">
        <v>25</v>
      </c>
      <c r="E56" t="s">
        <v>19</v>
      </c>
      <c r="F56" t="s">
        <v>19</v>
      </c>
      <c r="G56" t="s">
        <v>19</v>
      </c>
      <c r="H56" t="s">
        <v>28</v>
      </c>
      <c r="I56" t="s">
        <v>19</v>
      </c>
      <c r="J56" t="s">
        <v>19</v>
      </c>
      <c r="K56" s="21" t="s">
        <v>607</v>
      </c>
      <c r="L56" s="5" t="s">
        <v>19</v>
      </c>
      <c r="M56" s="5" t="s">
        <v>19</v>
      </c>
      <c r="N56" s="5" t="s">
        <v>19</v>
      </c>
      <c r="O56" s="5" t="s">
        <v>19</v>
      </c>
      <c r="P56" s="5" t="s">
        <v>19</v>
      </c>
      <c r="Q56" s="5" t="s">
        <v>19</v>
      </c>
      <c r="R56" s="5" t="s">
        <v>19</v>
      </c>
      <c r="S56" s="5" t="s">
        <v>19</v>
      </c>
      <c r="T56" s="5" t="s">
        <v>19</v>
      </c>
      <c r="U56" s="5" t="str">
        <f>HYPERLINK("http://www.lghausys.co.kr/popup/rn/download/downloadPopup.jsp?from=plwindow&amp;uu=/upload/window/REPORT/LGH-DA16-005.pdf","결로발생없음")</f>
        <v>결로발생없음</v>
      </c>
      <c r="V56" s="5" t="s">
        <v>19</v>
      </c>
      <c r="W56" s="5" t="s">
        <v>19</v>
      </c>
      <c r="X56" s="5">
        <v>0.98599999999999999</v>
      </c>
    </row>
    <row r="57" spans="1:24">
      <c r="A57" t="s">
        <v>73</v>
      </c>
      <c r="B57" t="s">
        <v>19</v>
      </c>
      <c r="C57" t="s">
        <v>14</v>
      </c>
      <c r="D57" t="s">
        <v>53</v>
      </c>
      <c r="E57" t="s">
        <v>19</v>
      </c>
      <c r="F57" t="s">
        <v>19</v>
      </c>
      <c r="G57" t="s">
        <v>19</v>
      </c>
      <c r="H57" t="s">
        <v>25</v>
      </c>
      <c r="I57" t="s">
        <v>19</v>
      </c>
      <c r="J57" t="s">
        <v>74</v>
      </c>
      <c r="K57" s="21" t="s">
        <v>607</v>
      </c>
      <c r="L57" s="5" t="s">
        <v>19</v>
      </c>
      <c r="M57" s="5" t="s">
        <v>19</v>
      </c>
      <c r="N57" s="5" t="s">
        <v>19</v>
      </c>
      <c r="O57" s="5" t="s">
        <v>19</v>
      </c>
      <c r="P57" s="5" t="s">
        <v>19</v>
      </c>
      <c r="Q57" s="5" t="s">
        <v>19</v>
      </c>
      <c r="R57" s="5" t="s">
        <v>19</v>
      </c>
      <c r="S57" s="5" t="s">
        <v>19</v>
      </c>
      <c r="T57" s="5" t="str">
        <f>HYPERLINK("http://www.lghausys.co.kr/popup/rn/download/downloadPopup.jsp?from=plwindow&amp;uu=/upload/window/REPORT/LGH-DA16-015.pdf","결로발생없음")</f>
        <v>결로발생없음</v>
      </c>
      <c r="U57" s="5" t="s">
        <v>19</v>
      </c>
      <c r="V57" s="5" t="s">
        <v>19</v>
      </c>
      <c r="W57" s="5" t="s">
        <v>75</v>
      </c>
      <c r="X57" s="5">
        <v>0.86699999999999999</v>
      </c>
    </row>
    <row r="58" spans="1:24">
      <c r="A58" t="s">
        <v>30</v>
      </c>
      <c r="B58" t="s">
        <v>19</v>
      </c>
      <c r="C58" t="s">
        <v>34</v>
      </c>
      <c r="D58" t="s">
        <v>32</v>
      </c>
      <c r="E58" t="s">
        <v>19</v>
      </c>
      <c r="F58" t="s">
        <v>19</v>
      </c>
      <c r="G58" t="s">
        <v>19</v>
      </c>
      <c r="H58" t="s">
        <v>41</v>
      </c>
      <c r="I58" t="s">
        <v>19</v>
      </c>
      <c r="J58" t="s">
        <v>19</v>
      </c>
      <c r="K58" s="21" t="s">
        <v>607</v>
      </c>
      <c r="L58" s="5" t="s">
        <v>19</v>
      </c>
      <c r="M58" s="5" t="s">
        <v>19</v>
      </c>
      <c r="N58" s="5" t="str">
        <f>HYPERLINK("http://www.lghausys.co.kr/popup/rn/download/downloadPopup.jsp?from=plwindow&amp;uu=/upload/window/REPORT/LGH-TA12-004.pdf","1.292")</f>
        <v>1.292</v>
      </c>
      <c r="O58" s="5" t="s">
        <v>19</v>
      </c>
      <c r="P58" s="5" t="s">
        <v>19</v>
      </c>
      <c r="Q58" s="5" t="s">
        <v>19</v>
      </c>
      <c r="R58" s="5" t="s">
        <v>19</v>
      </c>
      <c r="S58" s="5" t="s">
        <v>19</v>
      </c>
      <c r="T58" s="5" t="s">
        <v>19</v>
      </c>
      <c r="U58" s="5" t="s">
        <v>19</v>
      </c>
      <c r="V58" s="5" t="s">
        <v>19</v>
      </c>
      <c r="W58" s="5" t="s">
        <v>75</v>
      </c>
      <c r="X58" s="5">
        <v>0.9</v>
      </c>
    </row>
    <row r="59" spans="1:24">
      <c r="A59" t="s">
        <v>36</v>
      </c>
      <c r="B59" t="s">
        <v>19</v>
      </c>
      <c r="C59" t="s">
        <v>34</v>
      </c>
      <c r="D59" t="s">
        <v>76</v>
      </c>
      <c r="E59" t="s">
        <v>77</v>
      </c>
      <c r="F59" t="s">
        <v>19</v>
      </c>
      <c r="G59" t="s">
        <v>19</v>
      </c>
      <c r="H59" t="s">
        <v>19</v>
      </c>
      <c r="I59" t="s">
        <v>19</v>
      </c>
      <c r="J59" t="s">
        <v>19</v>
      </c>
      <c r="K59" s="21" t="s">
        <v>607</v>
      </c>
      <c r="L59" s="5" t="s">
        <v>19</v>
      </c>
      <c r="M59" s="5" t="s">
        <v>19</v>
      </c>
      <c r="N59" s="5" t="str">
        <f>HYPERLINK("http://www.lghausys.co.kr/popup/rn/download/downloadPopup.jsp?from=plwindow&amp;uu=/upload/window/REPORT/LGH-TA12-011.pdf","1.529")</f>
        <v>1.529</v>
      </c>
      <c r="O59" s="5" t="s">
        <v>19</v>
      </c>
      <c r="P59" s="5" t="s">
        <v>19</v>
      </c>
      <c r="Q59" s="5" t="s">
        <v>19</v>
      </c>
      <c r="R59" s="5" t="s">
        <v>19</v>
      </c>
      <c r="S59" s="5" t="s">
        <v>19</v>
      </c>
      <c r="T59" s="5" t="s">
        <v>19</v>
      </c>
      <c r="U59" s="5" t="s">
        <v>19</v>
      </c>
      <c r="V59" s="5" t="s">
        <v>19</v>
      </c>
      <c r="W59" s="5" t="s">
        <v>75</v>
      </c>
      <c r="X59" s="5">
        <v>0.88500000000000001</v>
      </c>
    </row>
    <row r="60" spans="1:24">
      <c r="A60" t="s">
        <v>78</v>
      </c>
      <c r="B60" t="s">
        <v>19</v>
      </c>
      <c r="C60" t="s">
        <v>34</v>
      </c>
      <c r="D60" t="s">
        <v>32</v>
      </c>
      <c r="E60" t="s">
        <v>33</v>
      </c>
      <c r="F60" t="s">
        <v>19</v>
      </c>
      <c r="G60" t="s">
        <v>19</v>
      </c>
      <c r="H60" t="s">
        <v>19</v>
      </c>
      <c r="I60" t="s">
        <v>19</v>
      </c>
      <c r="J60" t="s">
        <v>19</v>
      </c>
      <c r="K60" s="21" t="s">
        <v>607</v>
      </c>
      <c r="L60" s="5" t="s">
        <v>19</v>
      </c>
      <c r="M60" s="5" t="s">
        <v>19</v>
      </c>
      <c r="N60" s="5" t="str">
        <f>HYPERLINK("http://www.lghausys.co.kr/popup/rn/download/downloadPopup.jsp?from=plwindow&amp;uu=/upload/window/REPORT/LGH-TA12-018.pdf","2.6246")</f>
        <v>2.6246</v>
      </c>
      <c r="O60" s="5" t="s">
        <v>19</v>
      </c>
      <c r="P60" s="5" t="s">
        <v>19</v>
      </c>
      <c r="Q60" s="5" t="s">
        <v>19</v>
      </c>
      <c r="R60" s="5" t="s">
        <v>19</v>
      </c>
      <c r="S60" s="5" t="s">
        <v>19</v>
      </c>
      <c r="T60" s="5" t="s">
        <v>19</v>
      </c>
      <c r="U60" s="5" t="s">
        <v>19</v>
      </c>
      <c r="V60" s="5" t="s">
        <v>19</v>
      </c>
      <c r="W60" s="5" t="s">
        <v>75</v>
      </c>
      <c r="X60" s="5">
        <v>1.085</v>
      </c>
    </row>
    <row r="61" spans="1:24">
      <c r="A61" t="s">
        <v>27</v>
      </c>
      <c r="B61" t="s">
        <v>19</v>
      </c>
      <c r="C61" t="s">
        <v>34</v>
      </c>
      <c r="D61" t="s">
        <v>32</v>
      </c>
      <c r="E61" t="s">
        <v>33</v>
      </c>
      <c r="F61" t="s">
        <v>19</v>
      </c>
      <c r="G61" t="s">
        <v>19</v>
      </c>
      <c r="H61" t="s">
        <v>25</v>
      </c>
      <c r="I61" t="s">
        <v>19</v>
      </c>
      <c r="J61" t="s">
        <v>19</v>
      </c>
      <c r="K61" s="21" t="s">
        <v>607</v>
      </c>
      <c r="L61" s="5" t="s">
        <v>19</v>
      </c>
      <c r="M61" s="5" t="s">
        <v>19</v>
      </c>
      <c r="N61" s="5" t="str">
        <f>HYPERLINK("http://www.lghausys.co.kr/popup/rn/download/downloadPopup.jsp?from=plwindow&amp;uu=/upload/window/REPORT/LGH-TA12-019.pdf","1.1669")</f>
        <v>1.1669</v>
      </c>
      <c r="O61" s="5" t="s">
        <v>19</v>
      </c>
      <c r="P61" s="5" t="s">
        <v>19</v>
      </c>
      <c r="Q61" s="5" t="s">
        <v>19</v>
      </c>
      <c r="R61" s="5" t="s">
        <v>19</v>
      </c>
      <c r="S61" s="5" t="s">
        <v>19</v>
      </c>
      <c r="T61" s="5" t="s">
        <v>19</v>
      </c>
      <c r="U61" s="5" t="s">
        <v>19</v>
      </c>
      <c r="V61" s="5" t="s">
        <v>19</v>
      </c>
      <c r="W61" s="5" t="s">
        <v>75</v>
      </c>
      <c r="X61" s="5">
        <v>1.014</v>
      </c>
    </row>
    <row r="62" spans="1:24">
      <c r="A62" t="s">
        <v>19</v>
      </c>
      <c r="B62" t="s">
        <v>49</v>
      </c>
      <c r="C62" t="s">
        <v>34</v>
      </c>
      <c r="D62" t="s">
        <v>25</v>
      </c>
      <c r="E62" t="s">
        <v>19</v>
      </c>
      <c r="F62" t="s">
        <v>19</v>
      </c>
      <c r="G62" t="s">
        <v>19</v>
      </c>
      <c r="H62" t="s">
        <v>19</v>
      </c>
      <c r="I62" t="s">
        <v>19</v>
      </c>
      <c r="J62" t="s">
        <v>19</v>
      </c>
      <c r="K62" s="21" t="s">
        <v>607</v>
      </c>
      <c r="L62" s="5" t="s">
        <v>19</v>
      </c>
      <c r="M62" s="5" t="s">
        <v>19</v>
      </c>
      <c r="N62" s="5" t="str">
        <f>HYPERLINK("http://www.lghausys.co.kr/popup/rn/download/downloadPopup.jsp?from=plwindow&amp;uu=/upload/window/REPORT/LGH-TA13-003.pdf","2.7855")</f>
        <v>2.7855</v>
      </c>
      <c r="O62" s="5" t="s">
        <v>19</v>
      </c>
      <c r="P62" s="5" t="s">
        <v>19</v>
      </c>
      <c r="Q62" s="5" t="s">
        <v>19</v>
      </c>
      <c r="R62" s="5" t="s">
        <v>19</v>
      </c>
      <c r="S62" s="5" t="s">
        <v>19</v>
      </c>
      <c r="T62" s="5" t="s">
        <v>19</v>
      </c>
      <c r="U62" s="5" t="s">
        <v>19</v>
      </c>
      <c r="V62" s="5" t="s">
        <v>19</v>
      </c>
      <c r="W62" s="5" t="s">
        <v>75</v>
      </c>
      <c r="X62" s="5">
        <v>0.84299999999999997</v>
      </c>
    </row>
    <row r="63" spans="1:24">
      <c r="A63" t="s">
        <v>42</v>
      </c>
      <c r="B63" t="s">
        <v>43</v>
      </c>
      <c r="C63" t="s">
        <v>34</v>
      </c>
      <c r="D63" t="s">
        <v>79</v>
      </c>
      <c r="E63" t="s">
        <v>19</v>
      </c>
      <c r="F63" t="s">
        <v>19</v>
      </c>
      <c r="G63" t="s">
        <v>19</v>
      </c>
      <c r="H63" t="s">
        <v>19</v>
      </c>
      <c r="I63" t="s">
        <v>19</v>
      </c>
      <c r="J63" t="s">
        <v>19</v>
      </c>
      <c r="K63" s="21" t="s">
        <v>607</v>
      </c>
      <c r="L63" s="5" t="s">
        <v>19</v>
      </c>
      <c r="M63" s="5" t="s">
        <v>19</v>
      </c>
      <c r="N63" s="5" t="str">
        <f>HYPERLINK("http://www.lghausys.co.kr/popup/rn/download/downloadPopup.jsp?from=plwindow&amp;uu=/upload/window/REPORT/LGH-TA13-023.pdf","4.3478")</f>
        <v>4.3478</v>
      </c>
      <c r="O63" s="5" t="s">
        <v>19</v>
      </c>
      <c r="P63" s="5" t="s">
        <v>19</v>
      </c>
      <c r="Q63" s="5" t="s">
        <v>19</v>
      </c>
      <c r="R63" s="5" t="s">
        <v>19</v>
      </c>
      <c r="S63" s="5" t="s">
        <v>19</v>
      </c>
      <c r="T63" s="5" t="s">
        <v>19</v>
      </c>
      <c r="U63" s="5" t="s">
        <v>19</v>
      </c>
      <c r="V63" s="5" t="s">
        <v>19</v>
      </c>
      <c r="W63" s="5" t="s">
        <v>75</v>
      </c>
      <c r="X63" s="5">
        <v>1.6579999999999999</v>
      </c>
    </row>
    <row r="64" spans="1:24">
      <c r="A64" t="s">
        <v>42</v>
      </c>
      <c r="B64" t="s">
        <v>43</v>
      </c>
      <c r="C64" t="s">
        <v>34</v>
      </c>
      <c r="D64" t="s">
        <v>25</v>
      </c>
      <c r="E64" t="s">
        <v>19</v>
      </c>
      <c r="F64" t="s">
        <v>19</v>
      </c>
      <c r="G64" t="s">
        <v>19</v>
      </c>
      <c r="H64" t="s">
        <v>19</v>
      </c>
      <c r="I64" t="s">
        <v>19</v>
      </c>
      <c r="J64" t="s">
        <v>19</v>
      </c>
      <c r="K64" s="21" t="s">
        <v>607</v>
      </c>
      <c r="L64" s="5" t="s">
        <v>19</v>
      </c>
      <c r="M64" s="5" t="s">
        <v>19</v>
      </c>
      <c r="N64" s="5" t="str">
        <f>HYPERLINK("http://www.lghausys.co.kr/popup/rn/download/downloadPopup.jsp?from=plwindow&amp;uu=/upload/window/REPORT/LGH-TA13-024.pdf","2.4814")</f>
        <v>2.4814</v>
      </c>
      <c r="O64" s="5" t="s">
        <v>19</v>
      </c>
      <c r="P64" s="5" t="s">
        <v>19</v>
      </c>
      <c r="Q64" s="5" t="s">
        <v>19</v>
      </c>
      <c r="R64" s="5" t="s">
        <v>19</v>
      </c>
      <c r="S64" s="5" t="s">
        <v>19</v>
      </c>
      <c r="T64" s="5" t="s">
        <v>19</v>
      </c>
      <c r="U64" s="5" t="s">
        <v>19</v>
      </c>
      <c r="V64" s="5" t="s">
        <v>19</v>
      </c>
      <c r="W64" s="5" t="s">
        <v>75</v>
      </c>
      <c r="X64" s="5">
        <v>0.84499999999999997</v>
      </c>
    </row>
    <row r="65" spans="1:24">
      <c r="A65" t="s">
        <v>23</v>
      </c>
      <c r="B65" t="s">
        <v>19</v>
      </c>
      <c r="C65" t="s">
        <v>34</v>
      </c>
      <c r="D65" t="s">
        <v>25</v>
      </c>
      <c r="E65" t="s">
        <v>19</v>
      </c>
      <c r="F65" t="s">
        <v>19</v>
      </c>
      <c r="G65" t="s">
        <v>19</v>
      </c>
      <c r="H65" t="s">
        <v>26</v>
      </c>
      <c r="I65" t="s">
        <v>19</v>
      </c>
      <c r="J65" t="s">
        <v>19</v>
      </c>
      <c r="K65" s="21" t="s">
        <v>607</v>
      </c>
      <c r="L65" s="5" t="s">
        <v>19</v>
      </c>
      <c r="M65" s="5" t="s">
        <v>19</v>
      </c>
      <c r="N65" s="5" t="str">
        <f>HYPERLINK("http://www.lghausys.co.kr/popup/rn/download/downloadPopup.jsp?from=plwindow&amp;uu=/upload/window/REPORT/LGH-TA13-029.pdf","1.0163")</f>
        <v>1.0163</v>
      </c>
      <c r="O65" s="5" t="s">
        <v>19</v>
      </c>
      <c r="P65" s="5" t="s">
        <v>19</v>
      </c>
      <c r="Q65" s="5" t="s">
        <v>19</v>
      </c>
      <c r="R65" s="5" t="s">
        <v>19</v>
      </c>
      <c r="S65" s="5" t="s">
        <v>19</v>
      </c>
      <c r="T65" s="5" t="s">
        <v>19</v>
      </c>
      <c r="U65" s="5" t="s">
        <v>19</v>
      </c>
      <c r="V65" s="5" t="s">
        <v>19</v>
      </c>
      <c r="W65" s="5" t="s">
        <v>75</v>
      </c>
      <c r="X65" s="5">
        <v>1.381</v>
      </c>
    </row>
    <row r="66" spans="1:24">
      <c r="A66" t="s">
        <v>19</v>
      </c>
      <c r="B66" t="s">
        <v>80</v>
      </c>
      <c r="C66" t="s">
        <v>34</v>
      </c>
      <c r="D66" t="s">
        <v>21</v>
      </c>
      <c r="E66" t="s">
        <v>19</v>
      </c>
      <c r="F66" t="s">
        <v>19</v>
      </c>
      <c r="G66" t="s">
        <v>19</v>
      </c>
      <c r="H66" t="s">
        <v>81</v>
      </c>
      <c r="I66" t="s">
        <v>19</v>
      </c>
      <c r="J66" t="s">
        <v>19</v>
      </c>
      <c r="K66" s="21" t="s">
        <v>607</v>
      </c>
      <c r="L66" s="5" t="s">
        <v>19</v>
      </c>
      <c r="M66" s="5" t="s">
        <v>19</v>
      </c>
      <c r="N66" s="5" t="str">
        <f>HYPERLINK("http://www.lghausys.co.kr/popup/rn/download/downloadPopup.jsp?from=plwindow&amp;uu=/upload/window/REPORT/LGH-TA13-031.pdf","0.947")</f>
        <v>0.947</v>
      </c>
      <c r="O66" s="5" t="s">
        <v>19</v>
      </c>
      <c r="P66" s="5" t="s">
        <v>19</v>
      </c>
      <c r="Q66" s="5" t="s">
        <v>19</v>
      </c>
      <c r="R66" s="5" t="s">
        <v>19</v>
      </c>
      <c r="S66" s="5" t="s">
        <v>19</v>
      </c>
      <c r="T66" s="5" t="s">
        <v>19</v>
      </c>
      <c r="U66" s="5" t="s">
        <v>19</v>
      </c>
      <c r="V66" s="5" t="s">
        <v>19</v>
      </c>
      <c r="W66" s="5" t="s">
        <v>75</v>
      </c>
      <c r="X66" s="5">
        <v>1.089</v>
      </c>
    </row>
    <row r="67" spans="1:24">
      <c r="A67" t="s">
        <v>19</v>
      </c>
      <c r="B67" t="s">
        <v>82</v>
      </c>
      <c r="C67" t="s">
        <v>34</v>
      </c>
      <c r="D67" t="s">
        <v>25</v>
      </c>
      <c r="E67" t="s">
        <v>19</v>
      </c>
      <c r="F67" t="s">
        <v>19</v>
      </c>
      <c r="G67" t="s">
        <v>19</v>
      </c>
      <c r="H67" t="s">
        <v>19</v>
      </c>
      <c r="I67" t="s">
        <v>19</v>
      </c>
      <c r="J67" t="s">
        <v>19</v>
      </c>
      <c r="K67" s="21" t="s">
        <v>607</v>
      </c>
      <c r="L67" s="5" t="s">
        <v>19</v>
      </c>
      <c r="M67" s="5" t="s">
        <v>19</v>
      </c>
      <c r="N67" s="5" t="str">
        <f>HYPERLINK("http://www.lghausys.co.kr/popup/rn/download/downloadPopup.jsp?from=plwindow&amp;uu=/upload/window/REPORT/LGH-TA13-035.pdf","3.1949")</f>
        <v>3.1949</v>
      </c>
      <c r="O67" s="5" t="s">
        <v>19</v>
      </c>
      <c r="P67" s="5" t="s">
        <v>19</v>
      </c>
      <c r="Q67" s="5" t="s">
        <v>19</v>
      </c>
      <c r="R67" s="5" t="s">
        <v>19</v>
      </c>
      <c r="S67" s="5" t="s">
        <v>19</v>
      </c>
      <c r="T67" s="5" t="s">
        <v>19</v>
      </c>
      <c r="U67" s="5" t="s">
        <v>19</v>
      </c>
      <c r="V67" s="5" t="s">
        <v>19</v>
      </c>
      <c r="W67" s="5" t="s">
        <v>75</v>
      </c>
      <c r="X67" s="5">
        <v>0.99</v>
      </c>
    </row>
    <row r="68" spans="1:24">
      <c r="A68" t="s">
        <v>57</v>
      </c>
      <c r="B68" t="s">
        <v>58</v>
      </c>
      <c r="C68" t="s">
        <v>34</v>
      </c>
      <c r="D68" t="s">
        <v>25</v>
      </c>
      <c r="E68" t="s">
        <v>19</v>
      </c>
      <c r="F68" t="s">
        <v>19</v>
      </c>
      <c r="G68" t="s">
        <v>19</v>
      </c>
      <c r="H68" t="s">
        <v>19</v>
      </c>
      <c r="I68" t="s">
        <v>19</v>
      </c>
      <c r="J68" t="s">
        <v>19</v>
      </c>
      <c r="K68" s="21" t="s">
        <v>607</v>
      </c>
      <c r="L68" s="5" t="s">
        <v>19</v>
      </c>
      <c r="M68" s="5" t="s">
        <v>19</v>
      </c>
      <c r="N68" s="5" t="str">
        <f>HYPERLINK("http://www.lghausys.co.kr/popup/rn/download/downloadPopup.jsp?from=plwindow&amp;uu=/upload/window/REPORT/LGH-TA13-037.pdf","2.9586")</f>
        <v>2.9586</v>
      </c>
      <c r="O68" s="5" t="s">
        <v>19</v>
      </c>
      <c r="P68" s="5" t="s">
        <v>19</v>
      </c>
      <c r="Q68" s="5" t="s">
        <v>19</v>
      </c>
      <c r="R68" s="5" t="s">
        <v>19</v>
      </c>
      <c r="S68" s="5" t="s">
        <v>19</v>
      </c>
      <c r="T68" s="5" t="s">
        <v>19</v>
      </c>
      <c r="U68" s="5" t="s">
        <v>19</v>
      </c>
      <c r="V68" s="5" t="s">
        <v>19</v>
      </c>
      <c r="W68" s="5" t="s">
        <v>75</v>
      </c>
      <c r="X68" s="5">
        <v>1.379</v>
      </c>
    </row>
    <row r="69" spans="1:24">
      <c r="A69" t="s">
        <v>19</v>
      </c>
      <c r="B69" t="s">
        <v>83</v>
      </c>
      <c r="C69" t="s">
        <v>34</v>
      </c>
      <c r="D69" t="s">
        <v>28</v>
      </c>
      <c r="E69" t="s">
        <v>19</v>
      </c>
      <c r="F69" t="s">
        <v>19</v>
      </c>
      <c r="G69" t="s">
        <v>19</v>
      </c>
      <c r="H69" t="s">
        <v>19</v>
      </c>
      <c r="I69" t="s">
        <v>19</v>
      </c>
      <c r="J69" t="s">
        <v>19</v>
      </c>
      <c r="K69" s="21" t="s">
        <v>607</v>
      </c>
      <c r="L69" s="5" t="s">
        <v>19</v>
      </c>
      <c r="M69" s="5" t="s">
        <v>19</v>
      </c>
      <c r="N69" s="5" t="str">
        <f>HYPERLINK("http://www.lghausys.co.kr/popup/rn/download/downloadPopup.jsp?from=plwindow&amp;uu=/upload/window/REPORT/LGH-TA13-039.pdf","2.3866")</f>
        <v>2.3866</v>
      </c>
      <c r="O69" s="5" t="s">
        <v>19</v>
      </c>
      <c r="P69" s="5" t="s">
        <v>19</v>
      </c>
      <c r="Q69" s="5" t="s">
        <v>19</v>
      </c>
      <c r="R69" s="5" t="s">
        <v>19</v>
      </c>
      <c r="S69" s="5" t="s">
        <v>19</v>
      </c>
      <c r="T69" s="5" t="s">
        <v>19</v>
      </c>
      <c r="U69" s="5" t="s">
        <v>19</v>
      </c>
      <c r="V69" s="5" t="s">
        <v>19</v>
      </c>
      <c r="W69" s="5" t="s">
        <v>75</v>
      </c>
      <c r="X69" s="5">
        <v>1.4930000000000001</v>
      </c>
    </row>
    <row r="70" spans="1:24">
      <c r="A70" t="s">
        <v>19</v>
      </c>
      <c r="B70" t="s">
        <v>83</v>
      </c>
      <c r="C70" t="s">
        <v>34</v>
      </c>
      <c r="D70" t="s">
        <v>25</v>
      </c>
      <c r="E70" t="s">
        <v>19</v>
      </c>
      <c r="F70" t="s">
        <v>19</v>
      </c>
      <c r="G70" t="s">
        <v>19</v>
      </c>
      <c r="H70" t="s">
        <v>19</v>
      </c>
      <c r="I70" t="s">
        <v>19</v>
      </c>
      <c r="J70" t="s">
        <v>19</v>
      </c>
      <c r="K70" s="21" t="s">
        <v>607</v>
      </c>
      <c r="L70" s="5" t="s">
        <v>19</v>
      </c>
      <c r="M70" s="5" t="s">
        <v>19</v>
      </c>
      <c r="N70" s="5" t="str">
        <f>HYPERLINK("http://www.lghausys.co.kr/popup/rn/download/downloadPopup.jsp?from=plwindow&amp;uu=/upload/window/REPORT/LGH-TA13-040.pdf","3.0863")</f>
        <v>3.0863</v>
      </c>
      <c r="O70" s="5" t="s">
        <v>19</v>
      </c>
      <c r="P70" s="5" t="s">
        <v>19</v>
      </c>
      <c r="Q70" s="5" t="s">
        <v>19</v>
      </c>
      <c r="R70" s="5" t="s">
        <v>19</v>
      </c>
      <c r="S70" s="5" t="s">
        <v>19</v>
      </c>
      <c r="T70" s="5" t="s">
        <v>19</v>
      </c>
      <c r="U70" s="5" t="s">
        <v>19</v>
      </c>
      <c r="V70" s="5" t="s">
        <v>19</v>
      </c>
      <c r="W70" s="5" t="s">
        <v>75</v>
      </c>
      <c r="X70" s="5">
        <v>1.4970000000000001</v>
      </c>
    </row>
    <row r="71" spans="1:24">
      <c r="A71" t="s">
        <v>19</v>
      </c>
      <c r="B71" t="s">
        <v>83</v>
      </c>
      <c r="C71" t="s">
        <v>34</v>
      </c>
      <c r="D71" t="s">
        <v>21</v>
      </c>
      <c r="E71" t="s">
        <v>19</v>
      </c>
      <c r="F71" t="s">
        <v>19</v>
      </c>
      <c r="G71" t="s">
        <v>19</v>
      </c>
      <c r="H71" t="s">
        <v>19</v>
      </c>
      <c r="I71" t="s">
        <v>19</v>
      </c>
      <c r="J71" t="s">
        <v>19</v>
      </c>
      <c r="K71" s="21" t="s">
        <v>607</v>
      </c>
      <c r="L71" s="5" t="s">
        <v>19</v>
      </c>
      <c r="M71" s="5" t="s">
        <v>19</v>
      </c>
      <c r="N71" s="5" t="str">
        <f>HYPERLINK("http://www.lghausys.co.kr/popup/rn/download/downloadPopup.jsp?from=plwindow&amp;uu=/upload/window/REPORT/LGH-TA13-052.pdf","1.8904")</f>
        <v>1.8904</v>
      </c>
      <c r="O71" s="5" t="s">
        <v>19</v>
      </c>
      <c r="P71" s="5" t="s">
        <v>19</v>
      </c>
      <c r="Q71" s="5" t="s">
        <v>19</v>
      </c>
      <c r="R71" s="5" t="s">
        <v>19</v>
      </c>
      <c r="S71" s="5" t="s">
        <v>19</v>
      </c>
      <c r="T71" s="5" t="s">
        <v>19</v>
      </c>
      <c r="U71" s="5" t="s">
        <v>19</v>
      </c>
      <c r="V71" s="5" t="s">
        <v>19</v>
      </c>
      <c r="W71" s="5" t="s">
        <v>75</v>
      </c>
      <c r="X71" s="5">
        <v>3.2050000000000001</v>
      </c>
    </row>
    <row r="72" spans="1:24">
      <c r="A72" t="s">
        <v>84</v>
      </c>
      <c r="B72" t="s">
        <v>19</v>
      </c>
      <c r="C72" t="s">
        <v>34</v>
      </c>
      <c r="D72" t="s">
        <v>85</v>
      </c>
      <c r="E72" t="s">
        <v>19</v>
      </c>
      <c r="F72" t="s">
        <v>19</v>
      </c>
      <c r="G72" t="s">
        <v>19</v>
      </c>
      <c r="H72" t="s">
        <v>19</v>
      </c>
      <c r="I72" t="s">
        <v>19</v>
      </c>
      <c r="J72" t="s">
        <v>19</v>
      </c>
      <c r="K72" s="21" t="s">
        <v>607</v>
      </c>
      <c r="L72" s="5" t="s">
        <v>19</v>
      </c>
      <c r="M72" s="5" t="s">
        <v>19</v>
      </c>
      <c r="N72" s="5" t="str">
        <f>HYPERLINK("http://www.lghausys.co.kr/popup/rn/download/downloadPopup.jsp?from=plwindow&amp;uu=/upload/window/REPORT/LGH-TA14-032.pdf","4.2194")</f>
        <v>4.2194</v>
      </c>
      <c r="O72" s="5" t="s">
        <v>19</v>
      </c>
      <c r="P72" s="5" t="s">
        <v>19</v>
      </c>
      <c r="Q72" s="5" t="s">
        <v>19</v>
      </c>
      <c r="R72" s="5" t="s">
        <v>19</v>
      </c>
      <c r="S72" s="5" t="s">
        <v>19</v>
      </c>
      <c r="T72" s="5" t="s">
        <v>19</v>
      </c>
      <c r="U72" s="5" t="s">
        <v>19</v>
      </c>
      <c r="V72" s="5" t="s">
        <v>19</v>
      </c>
      <c r="W72" s="5" t="s">
        <v>75</v>
      </c>
      <c r="X72" s="5">
        <v>1.0209999999999999</v>
      </c>
    </row>
    <row r="73" spans="1:24">
      <c r="A73" t="s">
        <v>42</v>
      </c>
      <c r="B73" t="s">
        <v>43</v>
      </c>
      <c r="C73" t="s">
        <v>34</v>
      </c>
      <c r="D73" t="s">
        <v>86</v>
      </c>
      <c r="E73" t="s">
        <v>19</v>
      </c>
      <c r="F73" t="s">
        <v>19</v>
      </c>
      <c r="G73" t="s">
        <v>19</v>
      </c>
      <c r="H73" t="s">
        <v>19</v>
      </c>
      <c r="I73" t="s">
        <v>19</v>
      </c>
      <c r="J73" t="s">
        <v>19</v>
      </c>
      <c r="K73" s="21" t="s">
        <v>607</v>
      </c>
      <c r="L73" s="5" t="s">
        <v>19</v>
      </c>
      <c r="M73" s="5" t="s">
        <v>19</v>
      </c>
      <c r="N73" s="5" t="str">
        <f>HYPERLINK("http://www.lghausys.co.kr/popup/rn/download/downloadPopup.jsp?from=plwindow&amp;uu=/upload/window/REPORT/LGH-TA14-061.pdf","1.3315")</f>
        <v>1.3315</v>
      </c>
      <c r="O73" s="5" t="s">
        <v>19</v>
      </c>
      <c r="P73" s="5" t="s">
        <v>19</v>
      </c>
      <c r="Q73" s="5" t="s">
        <v>19</v>
      </c>
      <c r="R73" s="5" t="s">
        <v>19</v>
      </c>
      <c r="S73" s="5" t="s">
        <v>19</v>
      </c>
      <c r="T73" s="5" t="s">
        <v>19</v>
      </c>
      <c r="U73" s="5" t="s">
        <v>19</v>
      </c>
      <c r="V73" s="5" t="s">
        <v>19</v>
      </c>
      <c r="W73" s="5" t="s">
        <v>75</v>
      </c>
      <c r="X73" s="5">
        <v>0.9890000000000001</v>
      </c>
    </row>
    <row r="74" spans="1:24">
      <c r="A74" t="s">
        <v>19</v>
      </c>
      <c r="B74" t="s">
        <v>83</v>
      </c>
      <c r="C74" t="s">
        <v>34</v>
      </c>
      <c r="D74" t="s">
        <v>28</v>
      </c>
      <c r="E74" t="s">
        <v>19</v>
      </c>
      <c r="F74" t="s">
        <v>19</v>
      </c>
      <c r="G74" t="s">
        <v>19</v>
      </c>
      <c r="H74" t="s">
        <v>19</v>
      </c>
      <c r="I74" t="s">
        <v>19</v>
      </c>
      <c r="J74" t="s">
        <v>19</v>
      </c>
      <c r="K74" s="21" t="s">
        <v>607</v>
      </c>
      <c r="L74" s="5" t="s">
        <v>19</v>
      </c>
      <c r="M74" s="5" t="s">
        <v>19</v>
      </c>
      <c r="N74" s="5" t="str">
        <f>HYPERLINK("http://www.lghausys.co.kr/popup/rn/download/downloadPopup.jsp?from=plwindow&amp;uu=/upload/window/REPORT/LGH-TA14-062.pdf","2.2624")</f>
        <v>2.2624</v>
      </c>
      <c r="O74" s="5" t="s">
        <v>19</v>
      </c>
      <c r="P74" s="5" t="s">
        <v>19</v>
      </c>
      <c r="Q74" s="5" t="s">
        <v>19</v>
      </c>
      <c r="R74" s="5" t="s">
        <v>19</v>
      </c>
      <c r="S74" s="5" t="s">
        <v>19</v>
      </c>
      <c r="T74" s="5" t="s">
        <v>19</v>
      </c>
      <c r="U74" s="5" t="s">
        <v>19</v>
      </c>
      <c r="V74" s="5" t="s">
        <v>19</v>
      </c>
      <c r="W74" s="5" t="s">
        <v>75</v>
      </c>
      <c r="X74" s="5">
        <v>1.28</v>
      </c>
    </row>
    <row r="75" spans="1:24">
      <c r="A75" t="s">
        <v>27</v>
      </c>
      <c r="B75" t="s">
        <v>19</v>
      </c>
      <c r="C75" t="s">
        <v>34</v>
      </c>
      <c r="D75" t="s">
        <v>25</v>
      </c>
      <c r="E75" t="s">
        <v>87</v>
      </c>
      <c r="F75" t="s">
        <v>19</v>
      </c>
      <c r="G75" t="s">
        <v>19</v>
      </c>
      <c r="H75" t="s">
        <v>25</v>
      </c>
      <c r="I75" t="s">
        <v>19</v>
      </c>
      <c r="J75" t="s">
        <v>19</v>
      </c>
      <c r="K75" s="21" t="s">
        <v>607</v>
      </c>
      <c r="L75" s="5" t="s">
        <v>19</v>
      </c>
      <c r="M75" s="5" t="s">
        <v>19</v>
      </c>
      <c r="N75" s="5" t="str">
        <f>HYPERLINK("http://www.lghausys.co.kr/popup/rn/download/downloadPopup.jsp?from=plwindow&amp;uu=/upload/window/REPORT/LGH-TA14-066.pdf","2.0877")</f>
        <v>2.0877</v>
      </c>
      <c r="O75" s="5" t="s">
        <v>19</v>
      </c>
      <c r="P75" s="5" t="s">
        <v>19</v>
      </c>
      <c r="Q75" s="5" t="s">
        <v>19</v>
      </c>
      <c r="R75" s="5" t="s">
        <v>19</v>
      </c>
      <c r="S75" s="5" t="s">
        <v>19</v>
      </c>
      <c r="T75" s="5" t="s">
        <v>19</v>
      </c>
      <c r="U75" s="5" t="s">
        <v>19</v>
      </c>
      <c r="V75" s="5" t="s">
        <v>19</v>
      </c>
      <c r="W75" s="5" t="s">
        <v>75</v>
      </c>
      <c r="X75" s="5">
        <v>1.3069999999999999</v>
      </c>
    </row>
    <row r="76" spans="1:24">
      <c r="A76" t="s">
        <v>19</v>
      </c>
      <c r="B76" t="s">
        <v>83</v>
      </c>
      <c r="C76" t="s">
        <v>34</v>
      </c>
      <c r="D76" t="s">
        <v>64</v>
      </c>
      <c r="E76" t="s">
        <v>19</v>
      </c>
      <c r="F76" t="s">
        <v>19</v>
      </c>
      <c r="G76" t="s">
        <v>19</v>
      </c>
      <c r="H76" t="s">
        <v>19</v>
      </c>
      <c r="I76" t="s">
        <v>19</v>
      </c>
      <c r="J76" t="s">
        <v>19</v>
      </c>
      <c r="K76" s="21" t="s">
        <v>607</v>
      </c>
      <c r="L76" s="5" t="s">
        <v>19</v>
      </c>
      <c r="M76" s="5" t="s">
        <v>19</v>
      </c>
      <c r="N76" s="5" t="str">
        <f>HYPERLINK("http://www.lghausys.co.kr/popup/rn/download/downloadPopup.jsp?from=plwindow&amp;uu=/upload/window/REPORT/LGH-TA14-118.pdf","2.387")</f>
        <v>2.387</v>
      </c>
      <c r="O76" s="5" t="s">
        <v>19</v>
      </c>
      <c r="P76" s="5" t="s">
        <v>19</v>
      </c>
      <c r="Q76" s="5" t="s">
        <v>19</v>
      </c>
      <c r="R76" s="5" t="s">
        <v>19</v>
      </c>
      <c r="S76" s="5" t="s">
        <v>19</v>
      </c>
      <c r="T76" s="5" t="s">
        <v>19</v>
      </c>
      <c r="U76" s="5" t="s">
        <v>19</v>
      </c>
      <c r="V76" s="5" t="s">
        <v>19</v>
      </c>
      <c r="W76" s="5" t="s">
        <v>75</v>
      </c>
      <c r="X76" s="5">
        <v>1.1874</v>
      </c>
    </row>
    <row r="77" spans="1:24">
      <c r="A77" t="s">
        <v>27</v>
      </c>
      <c r="B77" t="s">
        <v>19</v>
      </c>
      <c r="C77" t="s">
        <v>34</v>
      </c>
      <c r="D77" t="s">
        <v>28</v>
      </c>
      <c r="E77" t="s">
        <v>54</v>
      </c>
      <c r="F77" t="s">
        <v>19</v>
      </c>
      <c r="G77" t="s">
        <v>19</v>
      </c>
      <c r="H77" t="s">
        <v>28</v>
      </c>
      <c r="I77" t="s">
        <v>19</v>
      </c>
      <c r="J77" t="s">
        <v>19</v>
      </c>
      <c r="K77" s="21" t="s">
        <v>607</v>
      </c>
      <c r="L77" s="5" t="s">
        <v>19</v>
      </c>
      <c r="M77" s="5" t="s">
        <v>19</v>
      </c>
      <c r="N77" s="5" t="str">
        <f>HYPERLINK("http://www.lghausys.co.kr/popup/rn/download/downloadPopup.jsp?from=plwindow&amp;uu=/upload/window/REPORT/LGH-TA14-128.pdf","0.867")</f>
        <v>0.867</v>
      </c>
      <c r="O77" s="5" t="s">
        <v>19</v>
      </c>
      <c r="P77" s="5" t="s">
        <v>19</v>
      </c>
      <c r="Q77" s="5" t="s">
        <v>19</v>
      </c>
      <c r="R77" s="5" t="s">
        <v>19</v>
      </c>
      <c r="S77" s="5" t="s">
        <v>19</v>
      </c>
      <c r="T77" s="5" t="s">
        <v>19</v>
      </c>
      <c r="U77" s="5" t="s">
        <v>19</v>
      </c>
      <c r="V77" s="5" t="s">
        <v>19</v>
      </c>
      <c r="W77" s="5" t="s">
        <v>75</v>
      </c>
      <c r="X77" s="5">
        <v>2.6219000000000001</v>
      </c>
    </row>
    <row r="78" spans="1:24">
      <c r="A78" t="s">
        <v>30</v>
      </c>
      <c r="B78" t="s">
        <v>19</v>
      </c>
      <c r="C78" t="s">
        <v>34</v>
      </c>
      <c r="D78" t="s">
        <v>28</v>
      </c>
      <c r="E78" t="s">
        <v>19</v>
      </c>
      <c r="F78" t="s">
        <v>19</v>
      </c>
      <c r="G78" t="s">
        <v>19</v>
      </c>
      <c r="H78" t="s">
        <v>28</v>
      </c>
      <c r="I78" t="s">
        <v>19</v>
      </c>
      <c r="J78" t="s">
        <v>19</v>
      </c>
      <c r="K78" s="21" t="s">
        <v>607</v>
      </c>
      <c r="L78" s="5" t="s">
        <v>19</v>
      </c>
      <c r="M78" s="5" t="s">
        <v>19</v>
      </c>
      <c r="N78" s="5" t="str">
        <f>HYPERLINK("http://www.lghausys.co.kr/popup/rn/download/downloadPopup.jsp?from=plwindow&amp;uu=/upload/window/REPORT/LGH-TA14-129.pdf","0.805")</f>
        <v>0.805</v>
      </c>
      <c r="O78" s="5" t="s">
        <v>19</v>
      </c>
      <c r="P78" s="5" t="s">
        <v>19</v>
      </c>
      <c r="Q78" s="5" t="s">
        <v>19</v>
      </c>
      <c r="R78" s="5" t="s">
        <v>19</v>
      </c>
      <c r="S78" s="5" t="s">
        <v>19</v>
      </c>
      <c r="T78" s="5" t="s">
        <v>19</v>
      </c>
      <c r="U78" s="5" t="s">
        <v>19</v>
      </c>
      <c r="V78" s="5" t="s">
        <v>19</v>
      </c>
      <c r="W78" s="5" t="s">
        <v>75</v>
      </c>
      <c r="X78" s="5">
        <v>1.6621999999999999</v>
      </c>
    </row>
    <row r="79" spans="1:24">
      <c r="A79" t="s">
        <v>27</v>
      </c>
      <c r="B79" t="s">
        <v>19</v>
      </c>
      <c r="C79" t="s">
        <v>34</v>
      </c>
      <c r="D79" t="s">
        <v>25</v>
      </c>
      <c r="E79" t="s">
        <v>88</v>
      </c>
      <c r="F79" t="s">
        <v>19</v>
      </c>
      <c r="G79" t="s">
        <v>19</v>
      </c>
      <c r="H79" t="s">
        <v>25</v>
      </c>
      <c r="I79" t="s">
        <v>19</v>
      </c>
      <c r="J79" t="s">
        <v>19</v>
      </c>
      <c r="K79" s="21" t="s">
        <v>607</v>
      </c>
      <c r="L79" s="5" t="s">
        <v>19</v>
      </c>
      <c r="M79" s="5" t="s">
        <v>19</v>
      </c>
      <c r="N79" s="5" t="str">
        <f>HYPERLINK("http://www.lghausys.co.kr/popup/rn/download/downloadPopup.jsp?from=plwindow&amp;uu=/upload/window/REPORT/LGH-TA14-131.pdf","1.193")</f>
        <v>1.193</v>
      </c>
      <c r="O79" s="5" t="s">
        <v>19</v>
      </c>
      <c r="P79" s="5" t="s">
        <v>19</v>
      </c>
      <c r="Q79" s="5" t="s">
        <v>19</v>
      </c>
      <c r="R79" s="5" t="s">
        <v>19</v>
      </c>
      <c r="S79" s="5" t="s">
        <v>19</v>
      </c>
      <c r="T79" s="5" t="s">
        <v>19</v>
      </c>
      <c r="U79" s="5" t="s">
        <v>19</v>
      </c>
      <c r="V79" s="5" t="s">
        <v>19</v>
      </c>
      <c r="W79" s="5" t="s">
        <v>75</v>
      </c>
      <c r="X79" s="5">
        <v>1.5076000000000001</v>
      </c>
    </row>
    <row r="80" spans="1:24">
      <c r="A80" t="s">
        <v>78</v>
      </c>
      <c r="B80" t="s">
        <v>19</v>
      </c>
      <c r="C80" t="s">
        <v>34</v>
      </c>
      <c r="D80" t="s">
        <v>32</v>
      </c>
      <c r="E80" t="s">
        <v>88</v>
      </c>
      <c r="F80" t="s">
        <v>19</v>
      </c>
      <c r="G80" t="s">
        <v>19</v>
      </c>
      <c r="H80" t="s">
        <v>19</v>
      </c>
      <c r="I80" t="s">
        <v>19</v>
      </c>
      <c r="J80" t="s">
        <v>19</v>
      </c>
      <c r="K80" s="21" t="s">
        <v>607</v>
      </c>
      <c r="L80" s="5" t="s">
        <v>19</v>
      </c>
      <c r="M80" s="5" t="s">
        <v>19</v>
      </c>
      <c r="N80" s="5" t="str">
        <f>HYPERLINK("http://www.lghausys.co.kr/popup/rn/download/downloadPopup.jsp?from=plwindow&amp;uu=/upload/window/REPORT/LGH-TA14-132.pdf","2.967")</f>
        <v>2.967</v>
      </c>
      <c r="O80" s="5" t="s">
        <v>19</v>
      </c>
      <c r="P80" s="5" t="s">
        <v>19</v>
      </c>
      <c r="Q80" s="5" t="s">
        <v>19</v>
      </c>
      <c r="R80" s="5" t="s">
        <v>19</v>
      </c>
      <c r="S80" s="5" t="s">
        <v>19</v>
      </c>
      <c r="T80" s="5" t="s">
        <v>19</v>
      </c>
      <c r="U80" s="5" t="s">
        <v>19</v>
      </c>
      <c r="V80" s="5" t="s">
        <v>19</v>
      </c>
      <c r="W80" s="5" t="s">
        <v>75</v>
      </c>
      <c r="X80" s="5">
        <v>1.2173</v>
      </c>
    </row>
    <row r="81" spans="1:24">
      <c r="A81" t="s">
        <v>19</v>
      </c>
      <c r="B81" t="s">
        <v>48</v>
      </c>
      <c r="C81" t="s">
        <v>34</v>
      </c>
      <c r="D81" t="s">
        <v>41</v>
      </c>
      <c r="E81" t="s">
        <v>19</v>
      </c>
      <c r="F81" t="s">
        <v>19</v>
      </c>
      <c r="G81" t="s">
        <v>19</v>
      </c>
      <c r="H81" t="s">
        <v>81</v>
      </c>
      <c r="I81" t="s">
        <v>19</v>
      </c>
      <c r="J81" t="s">
        <v>19</v>
      </c>
      <c r="K81" s="21" t="s">
        <v>607</v>
      </c>
      <c r="L81" s="5" t="s">
        <v>19</v>
      </c>
      <c r="M81" s="5" t="s">
        <v>19</v>
      </c>
      <c r="N81" s="5" t="str">
        <f>HYPERLINK("http://www.lghausys.co.kr/popup/rn/download/downloadPopup.jsp?from=plwindow&amp;uu=/upload/window/REPORT/LGH-TA14-133.pdf","1.372")</f>
        <v>1.372</v>
      </c>
      <c r="O81" s="5" t="s">
        <v>19</v>
      </c>
      <c r="P81" s="5" t="s">
        <v>19</v>
      </c>
      <c r="Q81" s="5" t="s">
        <v>19</v>
      </c>
      <c r="R81" s="5" t="s">
        <v>19</v>
      </c>
      <c r="S81" s="5" t="s">
        <v>19</v>
      </c>
      <c r="T81" s="5" t="s">
        <v>19</v>
      </c>
      <c r="U81" s="5" t="s">
        <v>19</v>
      </c>
      <c r="V81" s="5" t="s">
        <v>19</v>
      </c>
      <c r="W81" s="5" t="s">
        <v>75</v>
      </c>
      <c r="X81" s="5">
        <v>1.0119</v>
      </c>
    </row>
    <row r="82" spans="1:24">
      <c r="A82" t="s">
        <v>42</v>
      </c>
      <c r="B82" t="s">
        <v>43</v>
      </c>
      <c r="C82" t="s">
        <v>34</v>
      </c>
      <c r="D82" t="s">
        <v>21</v>
      </c>
      <c r="E82" t="s">
        <v>19</v>
      </c>
      <c r="F82" t="s">
        <v>19</v>
      </c>
      <c r="G82" t="s">
        <v>19</v>
      </c>
      <c r="H82" t="s">
        <v>19</v>
      </c>
      <c r="I82" t="s">
        <v>19</v>
      </c>
      <c r="J82" t="s">
        <v>19</v>
      </c>
      <c r="K82" s="21" t="s">
        <v>607</v>
      </c>
      <c r="L82" s="5" t="s">
        <v>19</v>
      </c>
      <c r="M82" s="5" t="s">
        <v>19</v>
      </c>
      <c r="N82" s="5" t="str">
        <f>HYPERLINK("http://www.lghausys.co.kr/popup/rn/download/downloadPopup.jsp?from=plwindow&amp;uu=/upload/window/REPORT/LGH-TA14-145.pdf","1.949")</f>
        <v>1.949</v>
      </c>
      <c r="O82" s="5" t="s">
        <v>19</v>
      </c>
      <c r="P82" s="5" t="s">
        <v>19</v>
      </c>
      <c r="Q82" s="5" t="s">
        <v>19</v>
      </c>
      <c r="R82" s="5" t="s">
        <v>19</v>
      </c>
      <c r="S82" s="5" t="s">
        <v>19</v>
      </c>
      <c r="T82" s="5" t="s">
        <v>19</v>
      </c>
      <c r="U82" s="5" t="s">
        <v>19</v>
      </c>
      <c r="V82" s="5" t="s">
        <v>19</v>
      </c>
      <c r="W82" s="5" t="s">
        <v>75</v>
      </c>
      <c r="X82" s="5">
        <v>0.91080000000000005</v>
      </c>
    </row>
    <row r="83" spans="1:24">
      <c r="A83" t="s">
        <v>18</v>
      </c>
      <c r="B83" t="s">
        <v>19</v>
      </c>
      <c r="C83" t="s">
        <v>34</v>
      </c>
      <c r="D83" t="s">
        <v>25</v>
      </c>
      <c r="E83" t="s">
        <v>19</v>
      </c>
      <c r="F83" t="s">
        <v>19</v>
      </c>
      <c r="G83" t="s">
        <v>19</v>
      </c>
      <c r="H83" t="s">
        <v>19</v>
      </c>
      <c r="I83" t="s">
        <v>19</v>
      </c>
      <c r="J83" t="s">
        <v>19</v>
      </c>
      <c r="K83" s="21" t="s">
        <v>607</v>
      </c>
      <c r="L83" s="5" t="s">
        <v>19</v>
      </c>
      <c r="M83" s="5" t="s">
        <v>19</v>
      </c>
      <c r="N83" s="5" t="str">
        <f>HYPERLINK("http://www.lghausys.co.kr/popup/rn/download/downloadPopup.jsp?from=plwindow&amp;uu=/upload/window/REPORT/LGH-TA14-146.pdf","2.817")</f>
        <v>2.817</v>
      </c>
      <c r="O83" s="5" t="s">
        <v>19</v>
      </c>
      <c r="P83" s="5" t="s">
        <v>19</v>
      </c>
      <c r="Q83" s="5" t="s">
        <v>19</v>
      </c>
      <c r="R83" s="5" t="s">
        <v>19</v>
      </c>
      <c r="S83" s="5" t="s">
        <v>19</v>
      </c>
      <c r="T83" s="5" t="s">
        <v>19</v>
      </c>
      <c r="U83" s="5" t="s">
        <v>19</v>
      </c>
      <c r="V83" s="5" t="s">
        <v>19</v>
      </c>
      <c r="W83" s="5" t="s">
        <v>75</v>
      </c>
      <c r="X83" s="5">
        <v>0.85870000000000002</v>
      </c>
    </row>
    <row r="84" spans="1:24">
      <c r="A84" t="s">
        <v>19</v>
      </c>
      <c r="B84" t="s">
        <v>48</v>
      </c>
      <c r="C84" t="s">
        <v>34</v>
      </c>
      <c r="D84" t="s">
        <v>53</v>
      </c>
      <c r="E84" t="s">
        <v>19</v>
      </c>
      <c r="F84" t="s">
        <v>19</v>
      </c>
      <c r="G84" t="s">
        <v>19</v>
      </c>
      <c r="H84" t="s">
        <v>53</v>
      </c>
      <c r="I84" t="s">
        <v>19</v>
      </c>
      <c r="J84" t="s">
        <v>19</v>
      </c>
      <c r="K84" s="21" t="s">
        <v>607</v>
      </c>
      <c r="L84" s="5" t="s">
        <v>19</v>
      </c>
      <c r="M84" s="5" t="s">
        <v>19</v>
      </c>
      <c r="N84" s="5" t="str">
        <f>HYPERLINK("http://www.lghausys.co.kr/popup/rn/download/downloadPopup.jsp?from=plwindow&amp;uu=/upload/window/REPORT/LGH-TA14-176.pdf","0.87")</f>
        <v>0.87</v>
      </c>
      <c r="O84" s="5" t="s">
        <v>19</v>
      </c>
      <c r="P84" s="5" t="s">
        <v>19</v>
      </c>
      <c r="Q84" s="5" t="s">
        <v>19</v>
      </c>
      <c r="R84" s="5" t="s">
        <v>19</v>
      </c>
      <c r="S84" s="5" t="s">
        <v>19</v>
      </c>
      <c r="T84" s="5" t="s">
        <v>19</v>
      </c>
      <c r="U84" s="5" t="s">
        <v>19</v>
      </c>
      <c r="V84" s="5" t="s">
        <v>19</v>
      </c>
      <c r="W84" s="5" t="s">
        <v>75</v>
      </c>
      <c r="X84" s="5">
        <v>2.73</v>
      </c>
    </row>
    <row r="85" spans="1:24">
      <c r="A85" t="s">
        <v>19</v>
      </c>
      <c r="B85" t="s">
        <v>83</v>
      </c>
      <c r="C85" t="s">
        <v>34</v>
      </c>
      <c r="D85" t="s">
        <v>21</v>
      </c>
      <c r="E85" t="s">
        <v>19</v>
      </c>
      <c r="F85" t="s">
        <v>19</v>
      </c>
      <c r="G85" t="s">
        <v>19</v>
      </c>
      <c r="H85" t="s">
        <v>19</v>
      </c>
      <c r="I85" t="s">
        <v>19</v>
      </c>
      <c r="J85" t="s">
        <v>19</v>
      </c>
      <c r="K85" s="21" t="s">
        <v>607</v>
      </c>
      <c r="L85" s="5" t="s">
        <v>19</v>
      </c>
      <c r="M85" s="5" t="s">
        <v>19</v>
      </c>
      <c r="N85" s="5" t="str">
        <f>HYPERLINK("http://www.lghausys.co.kr/popup/rn/download/downloadPopup.jsp?from=plwindow&amp;uu=/upload/window/REPORT/LGH-TA15-001.pdf","2.062")</f>
        <v>2.062</v>
      </c>
      <c r="O85" s="5" t="s">
        <v>19</v>
      </c>
      <c r="P85" s="5" t="s">
        <v>19</v>
      </c>
      <c r="Q85" s="5" t="s">
        <v>19</v>
      </c>
      <c r="R85" s="5" t="s">
        <v>19</v>
      </c>
      <c r="S85" s="5" t="s">
        <v>19</v>
      </c>
      <c r="T85" s="5" t="s">
        <v>19</v>
      </c>
      <c r="U85" s="5" t="s">
        <v>19</v>
      </c>
      <c r="V85" s="5" t="s">
        <v>19</v>
      </c>
      <c r="W85" s="5" t="s">
        <v>75</v>
      </c>
      <c r="X85" s="5">
        <v>2.0411999999999999</v>
      </c>
    </row>
    <row r="86" spans="1:24">
      <c r="A86" t="s">
        <v>42</v>
      </c>
      <c r="B86" t="s">
        <v>43</v>
      </c>
      <c r="C86" t="s">
        <v>34</v>
      </c>
      <c r="D86" t="s">
        <v>41</v>
      </c>
      <c r="E86" t="s">
        <v>19</v>
      </c>
      <c r="F86" t="s">
        <v>19</v>
      </c>
      <c r="G86" t="s">
        <v>19</v>
      </c>
      <c r="H86" t="s">
        <v>19</v>
      </c>
      <c r="I86" t="s">
        <v>19</v>
      </c>
      <c r="J86" t="s">
        <v>19</v>
      </c>
      <c r="K86" s="21" t="s">
        <v>607</v>
      </c>
      <c r="L86" s="5" t="s">
        <v>19</v>
      </c>
      <c r="M86" s="5" t="s">
        <v>19</v>
      </c>
      <c r="N86" s="5" t="str">
        <f>HYPERLINK("http://www.lghausys.co.kr/popup/rn/download/downloadPopup.jsp?from=plwindow&amp;uu=/upload/window/REPORT/LGH-TA15-003.pdf","3.096")</f>
        <v>3.096</v>
      </c>
      <c r="O86" s="5" t="s">
        <v>19</v>
      </c>
      <c r="P86" s="5" t="s">
        <v>19</v>
      </c>
      <c r="Q86" s="5" t="s">
        <v>19</v>
      </c>
      <c r="R86" s="5" t="s">
        <v>19</v>
      </c>
      <c r="S86" s="5" t="s">
        <v>19</v>
      </c>
      <c r="T86" s="5" t="s">
        <v>19</v>
      </c>
      <c r="U86" s="5" t="s">
        <v>19</v>
      </c>
      <c r="V86" s="5" t="s">
        <v>19</v>
      </c>
      <c r="W86" s="5" t="s">
        <v>75</v>
      </c>
      <c r="X86" s="5">
        <v>1.8440000000000001</v>
      </c>
    </row>
    <row r="87" spans="1:24">
      <c r="A87" t="s">
        <v>19</v>
      </c>
      <c r="B87" t="s">
        <v>82</v>
      </c>
      <c r="C87" t="s">
        <v>34</v>
      </c>
      <c r="D87" t="s">
        <v>28</v>
      </c>
      <c r="E87" t="s">
        <v>19</v>
      </c>
      <c r="F87" t="s">
        <v>19</v>
      </c>
      <c r="G87" t="s">
        <v>19</v>
      </c>
      <c r="H87" t="s">
        <v>19</v>
      </c>
      <c r="I87" t="s">
        <v>19</v>
      </c>
      <c r="J87" t="s">
        <v>19</v>
      </c>
      <c r="K87" s="21" t="s">
        <v>607</v>
      </c>
      <c r="L87" s="5" t="s">
        <v>19</v>
      </c>
      <c r="M87" s="5" t="s">
        <v>19</v>
      </c>
      <c r="N87" s="5" t="str">
        <f>HYPERLINK("http://www.lghausys.co.kr/popup/rn/download/downloadPopup.jsp?from=plwindow&amp;uu=/upload/window/REPORT/LGH-TA15-020.pdf","2.519")</f>
        <v>2.519</v>
      </c>
      <c r="O87" s="5" t="s">
        <v>19</v>
      </c>
      <c r="P87" s="5" t="s">
        <v>19</v>
      </c>
      <c r="Q87" s="5" t="s">
        <v>19</v>
      </c>
      <c r="R87" s="5" t="s">
        <v>19</v>
      </c>
      <c r="S87" s="5" t="s">
        <v>19</v>
      </c>
      <c r="T87" s="5" t="s">
        <v>19</v>
      </c>
      <c r="U87" s="5" t="s">
        <v>19</v>
      </c>
      <c r="V87" s="5" t="s">
        <v>19</v>
      </c>
      <c r="W87" s="5" t="s">
        <v>75</v>
      </c>
      <c r="X87" s="5">
        <v>2.7277999999999998</v>
      </c>
    </row>
    <row r="88" spans="1:24">
      <c r="A88" t="s">
        <v>57</v>
      </c>
      <c r="B88" t="s">
        <v>58</v>
      </c>
      <c r="C88" t="s">
        <v>34</v>
      </c>
      <c r="D88" t="s">
        <v>56</v>
      </c>
      <c r="E88" t="s">
        <v>19</v>
      </c>
      <c r="F88" t="s">
        <v>19</v>
      </c>
      <c r="G88" t="s">
        <v>19</v>
      </c>
      <c r="H88" t="s">
        <v>19</v>
      </c>
      <c r="I88" t="s">
        <v>19</v>
      </c>
      <c r="J88" t="s">
        <v>19</v>
      </c>
      <c r="K88" s="21" t="s">
        <v>607</v>
      </c>
      <c r="L88" s="5" t="s">
        <v>19</v>
      </c>
      <c r="M88" s="5" t="s">
        <v>19</v>
      </c>
      <c r="N88" s="5" t="str">
        <f>HYPERLINK("http://www.lghausys.co.kr/popup/rn/download/downloadPopup.jsp?from=plwindow&amp;uu=/upload/window/REPORT/LGH-TA15-080.pdf","1.865")</f>
        <v>1.865</v>
      </c>
      <c r="O88" s="5" t="s">
        <v>19</v>
      </c>
      <c r="P88" s="5" t="s">
        <v>19</v>
      </c>
      <c r="Q88" s="5" t="s">
        <v>19</v>
      </c>
      <c r="R88" s="5" t="s">
        <v>19</v>
      </c>
      <c r="S88" s="5" t="s">
        <v>19</v>
      </c>
      <c r="T88" s="5" t="s">
        <v>19</v>
      </c>
      <c r="U88" s="5" t="s">
        <v>19</v>
      </c>
      <c r="V88" s="5" t="s">
        <v>19</v>
      </c>
      <c r="W88" s="5" t="s">
        <v>75</v>
      </c>
      <c r="X88" s="5">
        <v>2.0329000000000002</v>
      </c>
    </row>
    <row r="89" spans="1:24">
      <c r="A89" t="s">
        <v>30</v>
      </c>
      <c r="B89" t="s">
        <v>19</v>
      </c>
      <c r="C89" t="s">
        <v>34</v>
      </c>
      <c r="D89" t="s">
        <v>66</v>
      </c>
      <c r="E89" t="s">
        <v>19</v>
      </c>
      <c r="F89" t="s">
        <v>19</v>
      </c>
      <c r="G89" t="s">
        <v>19</v>
      </c>
      <c r="H89" t="s">
        <v>41</v>
      </c>
      <c r="I89" t="s">
        <v>19</v>
      </c>
      <c r="J89" t="s">
        <v>19</v>
      </c>
      <c r="K89" s="21" t="s">
        <v>607</v>
      </c>
      <c r="L89" s="5" t="s">
        <v>19</v>
      </c>
      <c r="M89" s="5" t="s">
        <v>19</v>
      </c>
      <c r="N89" s="5" t="str">
        <f>HYPERLINK("http://www.lghausys.co.kr/popup/rn/download/downloadPopup.jsp?from=plwindow&amp;uu=/upload/window/REPORT/LGH-TA15-083.pdf","1.0129")</f>
        <v>1.0129</v>
      </c>
      <c r="O89" s="5" t="s">
        <v>19</v>
      </c>
      <c r="P89" s="5" t="s">
        <v>19</v>
      </c>
      <c r="Q89" s="5" t="s">
        <v>19</v>
      </c>
      <c r="R89" s="5" t="s">
        <v>19</v>
      </c>
      <c r="S89" s="5" t="s">
        <v>19</v>
      </c>
      <c r="T89" s="5" t="s">
        <v>19</v>
      </c>
      <c r="U89" s="5" t="s">
        <v>19</v>
      </c>
      <c r="V89" s="5" t="s">
        <v>19</v>
      </c>
      <c r="W89" s="5" t="s">
        <v>75</v>
      </c>
      <c r="X89" s="5">
        <v>1.7629999999999999</v>
      </c>
    </row>
    <row r="90" spans="1:24">
      <c r="A90" t="s">
        <v>19</v>
      </c>
      <c r="B90" t="s">
        <v>83</v>
      </c>
      <c r="C90" t="s">
        <v>34</v>
      </c>
      <c r="D90" t="s">
        <v>28</v>
      </c>
      <c r="E90" t="s">
        <v>19</v>
      </c>
      <c r="F90" t="s">
        <v>19</v>
      </c>
      <c r="G90" t="s">
        <v>19</v>
      </c>
      <c r="H90" t="s">
        <v>19</v>
      </c>
      <c r="I90" t="s">
        <v>19</v>
      </c>
      <c r="J90" t="s">
        <v>19</v>
      </c>
      <c r="K90" s="21" t="s">
        <v>607</v>
      </c>
      <c r="L90" s="5" t="s">
        <v>19</v>
      </c>
      <c r="M90" s="5" t="s">
        <v>19</v>
      </c>
      <c r="N90" s="5" t="str">
        <f>HYPERLINK("http://www.lghausys.co.kr/popup/rn/download/downloadPopup.jsp?from=plwindow&amp;uu=/upload/window/REPORT/LGH-TA15-088.pdf","2.5503")</f>
        <v>2.5503</v>
      </c>
      <c r="O90" s="5" t="s">
        <v>19</v>
      </c>
      <c r="P90" s="5" t="s">
        <v>19</v>
      </c>
      <c r="Q90" s="5" t="s">
        <v>19</v>
      </c>
      <c r="R90" s="5" t="s">
        <v>19</v>
      </c>
      <c r="S90" s="5" t="s">
        <v>19</v>
      </c>
      <c r="T90" s="5" t="s">
        <v>19</v>
      </c>
      <c r="U90" s="5" t="s">
        <v>19</v>
      </c>
      <c r="V90" s="5" t="s">
        <v>19</v>
      </c>
      <c r="W90" s="5" t="s">
        <v>75</v>
      </c>
      <c r="X90" s="5">
        <v>1.2154</v>
      </c>
    </row>
    <row r="91" spans="1:24">
      <c r="A91" t="s">
        <v>42</v>
      </c>
      <c r="B91" t="s">
        <v>43</v>
      </c>
      <c r="C91" t="s">
        <v>34</v>
      </c>
      <c r="D91" t="s">
        <v>28</v>
      </c>
      <c r="E91" t="s">
        <v>19</v>
      </c>
      <c r="F91" t="s">
        <v>19</v>
      </c>
      <c r="G91" t="s">
        <v>19</v>
      </c>
      <c r="H91" t="s">
        <v>19</v>
      </c>
      <c r="I91" t="s">
        <v>19</v>
      </c>
      <c r="J91" t="s">
        <v>19</v>
      </c>
      <c r="K91" s="21" t="s">
        <v>607</v>
      </c>
      <c r="L91" s="5" t="s">
        <v>19</v>
      </c>
      <c r="M91" s="5" t="s">
        <v>19</v>
      </c>
      <c r="N91" s="5" t="str">
        <f>HYPERLINK("http://www.lghausys.co.kr/popup/rn/download/downloadPopup.jsp?from=plwindow&amp;uu=/upload/window/REPORT/LGH-TA15-089.pdf","2.3234")</f>
        <v>2.3234</v>
      </c>
      <c r="O91" s="5" t="s">
        <v>19</v>
      </c>
      <c r="P91" s="5" t="s">
        <v>19</v>
      </c>
      <c r="Q91" s="5" t="s">
        <v>19</v>
      </c>
      <c r="R91" s="5" t="s">
        <v>19</v>
      </c>
      <c r="S91" s="5" t="s">
        <v>19</v>
      </c>
      <c r="T91" s="5" t="s">
        <v>19</v>
      </c>
      <c r="U91" s="5" t="s">
        <v>19</v>
      </c>
      <c r="V91" s="5" t="s">
        <v>19</v>
      </c>
      <c r="W91" s="5" t="s">
        <v>75</v>
      </c>
      <c r="X91" s="5">
        <v>1.1936</v>
      </c>
    </row>
    <row r="92" spans="1:24">
      <c r="A92" t="s">
        <v>19</v>
      </c>
      <c r="B92" t="s">
        <v>83</v>
      </c>
      <c r="C92" t="s">
        <v>34</v>
      </c>
      <c r="D92" t="s">
        <v>25</v>
      </c>
      <c r="E92" t="s">
        <v>19</v>
      </c>
      <c r="F92" t="s">
        <v>19</v>
      </c>
      <c r="G92" t="s">
        <v>19</v>
      </c>
      <c r="H92" t="s">
        <v>19</v>
      </c>
      <c r="I92" t="s">
        <v>19</v>
      </c>
      <c r="J92" t="s">
        <v>19</v>
      </c>
      <c r="K92" s="21" t="s">
        <v>607</v>
      </c>
      <c r="L92" s="5" t="s">
        <v>19</v>
      </c>
      <c r="M92" s="5" t="s">
        <v>19</v>
      </c>
      <c r="N92" s="5" t="str">
        <f>HYPERLINK("http://www.lghausys.co.kr/popup/rn/download/downloadPopup.jsp?from=plwindow&amp;uu=/upload/window/REPORT/LGH-TA15-090.pdf","3.2072")</f>
        <v>3.2072</v>
      </c>
      <c r="O92" s="5" t="s">
        <v>19</v>
      </c>
      <c r="P92" s="5" t="s">
        <v>19</v>
      </c>
      <c r="Q92" s="5" t="s">
        <v>19</v>
      </c>
      <c r="R92" s="5" t="s">
        <v>19</v>
      </c>
      <c r="S92" s="5" t="s">
        <v>19</v>
      </c>
      <c r="T92" s="5" t="s">
        <v>19</v>
      </c>
      <c r="U92" s="5" t="s">
        <v>19</v>
      </c>
      <c r="V92" s="5" t="s">
        <v>19</v>
      </c>
      <c r="W92" s="5" t="s">
        <v>75</v>
      </c>
      <c r="X92" s="5">
        <v>1.2375</v>
      </c>
    </row>
    <row r="93" spans="1:24">
      <c r="A93" t="s">
        <v>19</v>
      </c>
      <c r="B93" t="s">
        <v>83</v>
      </c>
      <c r="C93" t="s">
        <v>34</v>
      </c>
      <c r="D93" t="s">
        <v>28</v>
      </c>
      <c r="E93" t="s">
        <v>19</v>
      </c>
      <c r="F93" t="s">
        <v>19</v>
      </c>
      <c r="G93" t="s">
        <v>19</v>
      </c>
      <c r="H93" t="s">
        <v>19</v>
      </c>
      <c r="I93" t="s">
        <v>19</v>
      </c>
      <c r="J93" t="s">
        <v>19</v>
      </c>
      <c r="K93" s="21" t="s">
        <v>607</v>
      </c>
      <c r="L93" s="5" t="s">
        <v>19</v>
      </c>
      <c r="M93" s="5" t="s">
        <v>19</v>
      </c>
      <c r="N93" s="5" t="str">
        <f>HYPERLINK("http://www.lghausys.co.kr/popup/rn/download/downloadPopup.jsp?from=plwindow&amp;uu=/upload/window/REPORT/LGH-TA15-128.pdf","2.0059")</f>
        <v>2.0059</v>
      </c>
      <c r="O93" s="5" t="s">
        <v>19</v>
      </c>
      <c r="P93" s="5" t="s">
        <v>19</v>
      </c>
      <c r="Q93" s="5" t="s">
        <v>19</v>
      </c>
      <c r="R93" s="5" t="s">
        <v>19</v>
      </c>
      <c r="S93" s="5" t="s">
        <v>19</v>
      </c>
      <c r="T93" s="5" t="s">
        <v>19</v>
      </c>
      <c r="U93" s="5" t="s">
        <v>19</v>
      </c>
      <c r="V93" s="5" t="s">
        <v>19</v>
      </c>
      <c r="W93" s="5" t="s">
        <v>75</v>
      </c>
      <c r="X93" s="5">
        <v>1.2222999999999999</v>
      </c>
    </row>
    <row r="94" spans="1:24">
      <c r="A94" t="s">
        <v>39</v>
      </c>
      <c r="B94" t="s">
        <v>19</v>
      </c>
      <c r="C94" t="s">
        <v>34</v>
      </c>
      <c r="D94" t="s">
        <v>51</v>
      </c>
      <c r="E94" t="s">
        <v>19</v>
      </c>
      <c r="F94" t="s">
        <v>19</v>
      </c>
      <c r="G94" t="s">
        <v>19</v>
      </c>
      <c r="H94" t="s">
        <v>19</v>
      </c>
      <c r="I94" t="s">
        <v>19</v>
      </c>
      <c r="J94" t="s">
        <v>19</v>
      </c>
      <c r="K94" s="21" t="s">
        <v>607</v>
      </c>
      <c r="L94" s="5" t="s">
        <v>19</v>
      </c>
      <c r="M94" s="5" t="s">
        <v>19</v>
      </c>
      <c r="N94" s="5" t="str">
        <f>HYPERLINK("http://www.lghausys.co.kr/popup/rn/download/downloadPopup.jsp?from=plwindow&amp;uu=/upload/window/REPORT/LGH-TA15-129.pdf","0.9969")</f>
        <v>0.9969</v>
      </c>
      <c r="O94" s="5" t="s">
        <v>19</v>
      </c>
      <c r="P94" s="5" t="s">
        <v>19</v>
      </c>
      <c r="Q94" s="5" t="s">
        <v>19</v>
      </c>
      <c r="R94" s="5" t="s">
        <v>19</v>
      </c>
      <c r="S94" s="5" t="s">
        <v>19</v>
      </c>
      <c r="T94" s="5" t="s">
        <v>19</v>
      </c>
      <c r="U94" s="5" t="s">
        <v>19</v>
      </c>
      <c r="V94" s="5" t="s">
        <v>19</v>
      </c>
      <c r="W94" s="5" t="s">
        <v>75</v>
      </c>
      <c r="X94" s="5">
        <v>1.9436</v>
      </c>
    </row>
    <row r="95" spans="1:24">
      <c r="A95" t="s">
        <v>44</v>
      </c>
      <c r="B95" t="s">
        <v>19</v>
      </c>
      <c r="C95" t="s">
        <v>34</v>
      </c>
      <c r="D95" t="s">
        <v>89</v>
      </c>
      <c r="E95" t="s">
        <v>19</v>
      </c>
      <c r="F95" t="s">
        <v>19</v>
      </c>
      <c r="G95" t="s">
        <v>19</v>
      </c>
      <c r="H95" t="s">
        <v>19</v>
      </c>
      <c r="I95" t="s">
        <v>19</v>
      </c>
      <c r="J95" t="s">
        <v>19</v>
      </c>
      <c r="K95" s="21" t="s">
        <v>607</v>
      </c>
      <c r="L95" s="5" t="s">
        <v>19</v>
      </c>
      <c r="M95" s="5" t="s">
        <v>19</v>
      </c>
      <c r="N95" s="5" t="str">
        <f>HYPERLINK("http://www.lghausys.co.kr/popup/rn/download/downloadPopup.jsp?from=plwindow&amp;uu=/upload/window/REPORT/LGH-TA15-141.pdf","1.8146")</f>
        <v>1.8146</v>
      </c>
      <c r="O95" s="5" t="s">
        <v>19</v>
      </c>
      <c r="P95" s="5" t="s">
        <v>19</v>
      </c>
      <c r="Q95" s="5" t="s">
        <v>19</v>
      </c>
      <c r="R95" s="5" t="s">
        <v>19</v>
      </c>
      <c r="S95" s="5" t="s">
        <v>19</v>
      </c>
      <c r="T95" s="5" t="s">
        <v>19</v>
      </c>
      <c r="U95" s="5" t="s">
        <v>19</v>
      </c>
      <c r="V95" s="5" t="s">
        <v>19</v>
      </c>
      <c r="W95" s="5" t="s">
        <v>75</v>
      </c>
      <c r="X95" s="5">
        <v>1.8793</v>
      </c>
    </row>
    <row r="96" spans="1:24">
      <c r="A96" t="s">
        <v>19</v>
      </c>
      <c r="B96" t="s">
        <v>90</v>
      </c>
      <c r="C96" t="s">
        <v>34</v>
      </c>
      <c r="D96" t="s">
        <v>41</v>
      </c>
      <c r="E96" t="s">
        <v>19</v>
      </c>
      <c r="F96" t="s">
        <v>19</v>
      </c>
      <c r="G96" t="s">
        <v>19</v>
      </c>
      <c r="H96" t="s">
        <v>41</v>
      </c>
      <c r="I96" t="s">
        <v>19</v>
      </c>
      <c r="J96" t="s">
        <v>19</v>
      </c>
      <c r="K96" s="21" t="s">
        <v>607</v>
      </c>
      <c r="L96" s="5" t="s">
        <v>19</v>
      </c>
      <c r="M96" s="5" t="s">
        <v>19</v>
      </c>
      <c r="N96" s="5" t="str">
        <f>HYPERLINK("http://www.lghausys.co.kr/popup/rn/download/downloadPopup.jsp?from=plwindow&amp;uu=/upload/window/REPORT/LGH-TA15-148.pdf","1.3687")</f>
        <v>1.3687</v>
      </c>
      <c r="O96" s="5" t="s">
        <v>19</v>
      </c>
      <c r="P96" s="5" t="s">
        <v>19</v>
      </c>
      <c r="Q96" s="5" t="s">
        <v>19</v>
      </c>
      <c r="R96" s="5" t="s">
        <v>19</v>
      </c>
      <c r="S96" s="5" t="s">
        <v>19</v>
      </c>
      <c r="T96" s="5" t="s">
        <v>19</v>
      </c>
      <c r="U96" s="5" t="s">
        <v>19</v>
      </c>
      <c r="V96" s="5" t="s">
        <v>19</v>
      </c>
      <c r="W96" s="5" t="s">
        <v>75</v>
      </c>
      <c r="X96" s="5">
        <v>2.0819999999999999</v>
      </c>
    </row>
    <row r="97" spans="1:24">
      <c r="A97" t="s">
        <v>57</v>
      </c>
      <c r="B97" t="s">
        <v>58</v>
      </c>
      <c r="C97" t="s">
        <v>34</v>
      </c>
      <c r="D97" t="s">
        <v>91</v>
      </c>
      <c r="E97" t="s">
        <v>19</v>
      </c>
      <c r="F97" t="s">
        <v>19</v>
      </c>
      <c r="G97" t="s">
        <v>19</v>
      </c>
      <c r="H97" t="s">
        <v>19</v>
      </c>
      <c r="I97" t="s">
        <v>19</v>
      </c>
      <c r="J97" t="s">
        <v>19</v>
      </c>
      <c r="K97" s="21" t="s">
        <v>607</v>
      </c>
      <c r="L97" s="5" t="s">
        <v>19</v>
      </c>
      <c r="M97" s="5" t="s">
        <v>19</v>
      </c>
      <c r="N97" s="5" t="str">
        <f>HYPERLINK("http://www.lghausys.co.kr/popup/rn/download/downloadPopup.jsp?from=plwindow&amp;uu=/upload/window/REPORT/LGH-TA15-152.pdf","1.5394")</f>
        <v>1.5394</v>
      </c>
      <c r="O97" s="5" t="s">
        <v>19</v>
      </c>
      <c r="P97" s="5" t="s">
        <v>19</v>
      </c>
      <c r="Q97" s="5" t="s">
        <v>19</v>
      </c>
      <c r="R97" s="5" t="s">
        <v>19</v>
      </c>
      <c r="S97" s="5" t="s">
        <v>19</v>
      </c>
      <c r="T97" s="5" t="s">
        <v>19</v>
      </c>
      <c r="U97" s="5" t="s">
        <v>19</v>
      </c>
      <c r="V97" s="5" t="s">
        <v>19</v>
      </c>
      <c r="W97" s="5" t="s">
        <v>75</v>
      </c>
      <c r="X97" s="5">
        <v>1.8165</v>
      </c>
    </row>
    <row r="98" spans="1:24">
      <c r="A98" t="s">
        <v>42</v>
      </c>
      <c r="B98" t="s">
        <v>43</v>
      </c>
      <c r="C98" t="s">
        <v>34</v>
      </c>
      <c r="D98" t="s">
        <v>28</v>
      </c>
      <c r="E98" t="s">
        <v>19</v>
      </c>
      <c r="F98" t="s">
        <v>19</v>
      </c>
      <c r="G98" t="s">
        <v>19</v>
      </c>
      <c r="H98" t="s">
        <v>19</v>
      </c>
      <c r="I98" t="s">
        <v>19</v>
      </c>
      <c r="J98" t="s">
        <v>19</v>
      </c>
      <c r="K98" s="21" t="s">
        <v>607</v>
      </c>
      <c r="L98" s="5" t="s">
        <v>19</v>
      </c>
      <c r="M98" s="5" t="s">
        <v>19</v>
      </c>
      <c r="N98" s="5" t="str">
        <f>HYPERLINK("http://www.lghausys.co.kr/popup/rn/download/downloadPopup.jsp?from=plwindow&amp;uu=/upload/window/REPORT/LGH-TA15-153.pdf","1.8801")</f>
        <v>1.8801</v>
      </c>
      <c r="O98" s="5" t="s">
        <v>19</v>
      </c>
      <c r="P98" s="5" t="s">
        <v>19</v>
      </c>
      <c r="Q98" s="5" t="s">
        <v>19</v>
      </c>
      <c r="R98" s="5" t="s">
        <v>19</v>
      </c>
      <c r="S98" s="5" t="s">
        <v>19</v>
      </c>
      <c r="T98" s="5" t="s">
        <v>19</v>
      </c>
      <c r="U98" s="5" t="s">
        <v>19</v>
      </c>
      <c r="V98" s="5" t="s">
        <v>19</v>
      </c>
      <c r="W98" s="5" t="s">
        <v>75</v>
      </c>
      <c r="X98" s="5">
        <v>2.7692999999999999</v>
      </c>
    </row>
    <row r="99" spans="1:24">
      <c r="A99" t="s">
        <v>39</v>
      </c>
      <c r="B99" t="s">
        <v>19</v>
      </c>
      <c r="C99" t="s">
        <v>34</v>
      </c>
      <c r="D99" t="s">
        <v>51</v>
      </c>
      <c r="E99" t="s">
        <v>19</v>
      </c>
      <c r="F99" t="s">
        <v>19</v>
      </c>
      <c r="G99" t="s">
        <v>19</v>
      </c>
      <c r="H99" t="s">
        <v>19</v>
      </c>
      <c r="I99" t="s">
        <v>19</v>
      </c>
      <c r="J99" t="s">
        <v>19</v>
      </c>
      <c r="K99" s="21" t="s">
        <v>607</v>
      </c>
      <c r="L99" s="5" t="s">
        <v>19</v>
      </c>
      <c r="M99" s="5" t="s">
        <v>19</v>
      </c>
      <c r="N99" s="5" t="str">
        <f>HYPERLINK("http://www.lghausys.co.kr/popup/rn/download/downloadPopup.jsp?from=plwindow&amp;uu=/upload/window/REPORT/LGH-TA15-157.pdf","1.0144")</f>
        <v>1.0144</v>
      </c>
      <c r="O99" s="5" t="s">
        <v>19</v>
      </c>
      <c r="P99" s="5" t="s">
        <v>19</v>
      </c>
      <c r="Q99" s="5" t="s">
        <v>19</v>
      </c>
      <c r="R99" s="5" t="s">
        <v>19</v>
      </c>
      <c r="S99" s="5" t="s">
        <v>19</v>
      </c>
      <c r="T99" s="5" t="s">
        <v>19</v>
      </c>
      <c r="U99" s="5" t="s">
        <v>19</v>
      </c>
      <c r="V99" s="5" t="s">
        <v>19</v>
      </c>
      <c r="W99" s="5" t="s">
        <v>75</v>
      </c>
      <c r="X99" s="5">
        <v>1.2201</v>
      </c>
    </row>
    <row r="100" spans="1:24">
      <c r="A100" t="s">
        <v>52</v>
      </c>
      <c r="B100" t="s">
        <v>19</v>
      </c>
      <c r="C100" t="s">
        <v>34</v>
      </c>
      <c r="D100" t="s">
        <v>25</v>
      </c>
      <c r="E100" t="s">
        <v>19</v>
      </c>
      <c r="F100" t="s">
        <v>19</v>
      </c>
      <c r="G100" t="s">
        <v>19</v>
      </c>
      <c r="H100" t="s">
        <v>25</v>
      </c>
      <c r="I100" t="s">
        <v>19</v>
      </c>
      <c r="J100" t="s">
        <v>19</v>
      </c>
      <c r="K100" s="21" t="s">
        <v>607</v>
      </c>
      <c r="L100" s="5" t="s">
        <v>19</v>
      </c>
      <c r="M100" s="5" t="s">
        <v>19</v>
      </c>
      <c r="N100" s="5" t="str">
        <f>HYPERLINK("http://www.lghausys.co.kr/popup/rn/download/downloadPopup.jsp?from=plwindow&amp;uu=/upload/window/REPORT/LGH-TA15-191.pdf","1.2446")</f>
        <v>1.2446</v>
      </c>
      <c r="O100" s="5" t="s">
        <v>19</v>
      </c>
      <c r="P100" s="5" t="s">
        <v>19</v>
      </c>
      <c r="Q100" s="5" t="s">
        <v>19</v>
      </c>
      <c r="R100" s="5" t="s">
        <v>19</v>
      </c>
      <c r="S100" s="5" t="s">
        <v>19</v>
      </c>
      <c r="T100" s="5" t="s">
        <v>19</v>
      </c>
      <c r="U100" s="5" t="s">
        <v>19</v>
      </c>
      <c r="V100" s="5" t="s">
        <v>19</v>
      </c>
      <c r="W100" s="5" t="s">
        <v>75</v>
      </c>
      <c r="X100" s="5">
        <v>1.0194000000000001</v>
      </c>
    </row>
    <row r="101" spans="1:24">
      <c r="A101" t="s">
        <v>52</v>
      </c>
      <c r="B101" t="s">
        <v>19</v>
      </c>
      <c r="C101" t="s">
        <v>34</v>
      </c>
      <c r="D101" t="s">
        <v>25</v>
      </c>
      <c r="E101" t="s">
        <v>19</v>
      </c>
      <c r="F101" t="s">
        <v>19</v>
      </c>
      <c r="G101" t="s">
        <v>19</v>
      </c>
      <c r="H101" t="s">
        <v>53</v>
      </c>
      <c r="I101" t="s">
        <v>19</v>
      </c>
      <c r="J101" t="s">
        <v>19</v>
      </c>
      <c r="K101" s="21" t="s">
        <v>607</v>
      </c>
      <c r="L101" s="5" t="s">
        <v>19</v>
      </c>
      <c r="M101" s="5" t="s">
        <v>19</v>
      </c>
      <c r="N101" s="5" t="str">
        <f>HYPERLINK("http://www.lghausys.co.kr/popup/rn/download/downloadPopup.jsp?from=plwindow&amp;uu=/upload/window/REPORT/LGH-TA15-192.pdf","0.8829")</f>
        <v>0.8829</v>
      </c>
      <c r="O101" s="5" t="s">
        <v>19</v>
      </c>
      <c r="P101" s="5" t="s">
        <v>19</v>
      </c>
      <c r="Q101" s="5" t="s">
        <v>19</v>
      </c>
      <c r="R101" s="5" t="s">
        <v>19</v>
      </c>
      <c r="S101" s="5" t="s">
        <v>19</v>
      </c>
      <c r="T101" s="5" t="s">
        <v>19</v>
      </c>
      <c r="U101" s="5" t="s">
        <v>19</v>
      </c>
      <c r="V101" s="5" t="s">
        <v>19</v>
      </c>
      <c r="W101" s="5" t="s">
        <v>75</v>
      </c>
      <c r="X101" s="5">
        <v>0.90790000000000004</v>
      </c>
    </row>
    <row r="102" spans="1:24">
      <c r="A102" t="s">
        <v>19</v>
      </c>
      <c r="B102" t="s">
        <v>83</v>
      </c>
      <c r="C102" t="s">
        <v>34</v>
      </c>
      <c r="D102" t="s">
        <v>21</v>
      </c>
      <c r="E102" t="s">
        <v>19</v>
      </c>
      <c r="F102" t="s">
        <v>19</v>
      </c>
      <c r="G102" t="s">
        <v>19</v>
      </c>
      <c r="H102" t="s">
        <v>19</v>
      </c>
      <c r="I102" t="s">
        <v>19</v>
      </c>
      <c r="J102" t="s">
        <v>19</v>
      </c>
      <c r="K102" s="21" t="s">
        <v>607</v>
      </c>
      <c r="L102" s="5" t="s">
        <v>19</v>
      </c>
      <c r="M102" s="5" t="s">
        <v>19</v>
      </c>
      <c r="N102" s="5" t="str">
        <f>HYPERLINK("http://www.lghausys.co.kr/popup/rn/download/downloadPopup.jsp?from=plwindow&amp;uu=/upload/window/REPORT/LGH-TA15-247.pdf","1.8051")</f>
        <v>1.8051</v>
      </c>
      <c r="O102" s="5" t="s">
        <v>19</v>
      </c>
      <c r="P102" s="5" t="s">
        <v>19</v>
      </c>
      <c r="Q102" s="5" t="s">
        <v>19</v>
      </c>
      <c r="R102" s="5" t="s">
        <v>19</v>
      </c>
      <c r="S102" s="5" t="s">
        <v>19</v>
      </c>
      <c r="T102" s="5" t="s">
        <v>19</v>
      </c>
      <c r="U102" s="5" t="s">
        <v>19</v>
      </c>
      <c r="V102" s="5" t="s">
        <v>19</v>
      </c>
      <c r="W102" s="5" t="s">
        <v>75</v>
      </c>
      <c r="X102" s="5">
        <v>2.7412000000000001</v>
      </c>
    </row>
    <row r="103" spans="1:24">
      <c r="A103" t="s">
        <v>57</v>
      </c>
      <c r="B103" t="s">
        <v>58</v>
      </c>
      <c r="C103" t="s">
        <v>34</v>
      </c>
      <c r="D103" t="s">
        <v>25</v>
      </c>
      <c r="E103" t="s">
        <v>19</v>
      </c>
      <c r="F103" t="s">
        <v>19</v>
      </c>
      <c r="G103" t="s">
        <v>19</v>
      </c>
      <c r="H103" t="s">
        <v>19</v>
      </c>
      <c r="I103" t="s">
        <v>19</v>
      </c>
      <c r="J103" t="s">
        <v>19</v>
      </c>
      <c r="K103" s="21" t="s">
        <v>607</v>
      </c>
      <c r="L103" s="5" t="s">
        <v>19</v>
      </c>
      <c r="M103" s="5" t="s">
        <v>19</v>
      </c>
      <c r="N103" s="5" t="str">
        <f>HYPERLINK("http://www.lghausys.co.kr/popup/rn/download/downloadPopup.jsp?from=plwindow&amp;uu=/upload/window/REPORT/LGH-TA15-248.pdf","2.7277")</f>
        <v>2.7277</v>
      </c>
      <c r="O103" s="5" t="s">
        <v>19</v>
      </c>
      <c r="P103" s="5" t="s">
        <v>19</v>
      </c>
      <c r="Q103" s="5" t="s">
        <v>19</v>
      </c>
      <c r="R103" s="5" t="s">
        <v>19</v>
      </c>
      <c r="S103" s="5" t="s">
        <v>19</v>
      </c>
      <c r="T103" s="5" t="s">
        <v>19</v>
      </c>
      <c r="U103" s="5" t="s">
        <v>19</v>
      </c>
      <c r="V103" s="5" t="s">
        <v>19</v>
      </c>
      <c r="W103" s="5" t="s">
        <v>75</v>
      </c>
      <c r="X103" s="5">
        <v>0.81459999999999999</v>
      </c>
    </row>
    <row r="104" spans="1:24">
      <c r="A104" t="s">
        <v>19</v>
      </c>
      <c r="B104" t="s">
        <v>83</v>
      </c>
      <c r="C104" t="s">
        <v>34</v>
      </c>
      <c r="D104" t="s">
        <v>21</v>
      </c>
      <c r="E104" t="s">
        <v>19</v>
      </c>
      <c r="F104" t="s">
        <v>19</v>
      </c>
      <c r="G104" t="s">
        <v>19</v>
      </c>
      <c r="H104" t="s">
        <v>19</v>
      </c>
      <c r="I104" t="s">
        <v>19</v>
      </c>
      <c r="J104" t="s">
        <v>19</v>
      </c>
      <c r="K104" s="21" t="s">
        <v>607</v>
      </c>
      <c r="L104" s="5" t="s">
        <v>19</v>
      </c>
      <c r="M104" s="5" t="s">
        <v>19</v>
      </c>
      <c r="N104" s="5" t="str">
        <f>HYPERLINK("http://www.lghausys.co.kr/popup/rn/download/downloadPopup.jsp?from=plwindow&amp;uu=/upload/window/REPORT/LGH-TA15-252.pdf","1.8028")</f>
        <v>1.8028</v>
      </c>
      <c r="O104" s="5" t="s">
        <v>19</v>
      </c>
      <c r="P104" s="5" t="s">
        <v>19</v>
      </c>
      <c r="Q104" s="5" t="s">
        <v>19</v>
      </c>
      <c r="R104" s="5" t="s">
        <v>19</v>
      </c>
      <c r="S104" s="5" t="s">
        <v>19</v>
      </c>
      <c r="T104" s="5" t="s">
        <v>19</v>
      </c>
      <c r="U104" s="5" t="s">
        <v>19</v>
      </c>
      <c r="V104" s="5" t="s">
        <v>19</v>
      </c>
      <c r="W104" s="5" t="s">
        <v>75</v>
      </c>
      <c r="X104" s="5">
        <v>2.6469</v>
      </c>
    </row>
    <row r="105" spans="1:24">
      <c r="A105" t="s">
        <v>92</v>
      </c>
      <c r="B105" t="s">
        <v>19</v>
      </c>
      <c r="C105" t="s">
        <v>34</v>
      </c>
      <c r="D105" t="s">
        <v>25</v>
      </c>
      <c r="E105" t="s">
        <v>19</v>
      </c>
      <c r="F105" t="s">
        <v>19</v>
      </c>
      <c r="G105" t="s">
        <v>19</v>
      </c>
      <c r="H105" t="s">
        <v>19</v>
      </c>
      <c r="I105" t="s">
        <v>19</v>
      </c>
      <c r="J105" t="s">
        <v>19</v>
      </c>
      <c r="K105" s="21" t="s">
        <v>607</v>
      </c>
      <c r="L105" s="5" t="s">
        <v>19</v>
      </c>
      <c r="M105" s="5" t="s">
        <v>19</v>
      </c>
      <c r="N105" s="5" t="str">
        <f>HYPERLINK("http://www.lghausys.co.kr/popup/rn/download/downloadPopup.jsp?from=plwindow&amp;uu=/upload/window/REPORT/LGH-TA15-255.pdf","2.8417")</f>
        <v>2.8417</v>
      </c>
      <c r="O105" s="5" t="s">
        <v>19</v>
      </c>
      <c r="P105" s="5" t="s">
        <v>19</v>
      </c>
      <c r="Q105" s="5" t="s">
        <v>19</v>
      </c>
      <c r="R105" s="5" t="s">
        <v>19</v>
      </c>
      <c r="S105" s="5" t="s">
        <v>19</v>
      </c>
      <c r="T105" s="5" t="s">
        <v>19</v>
      </c>
      <c r="U105" s="5" t="s">
        <v>19</v>
      </c>
      <c r="V105" s="5" t="s">
        <v>19</v>
      </c>
      <c r="W105" s="5" t="s">
        <v>75</v>
      </c>
      <c r="X105" s="5">
        <v>1.8871</v>
      </c>
    </row>
    <row r="106" spans="1:24">
      <c r="A106" t="s">
        <v>92</v>
      </c>
      <c r="B106" t="s">
        <v>19</v>
      </c>
      <c r="C106" t="s">
        <v>34</v>
      </c>
      <c r="D106" t="s">
        <v>64</v>
      </c>
      <c r="E106" t="s">
        <v>19</v>
      </c>
      <c r="F106" t="s">
        <v>19</v>
      </c>
      <c r="G106" t="s">
        <v>19</v>
      </c>
      <c r="H106" t="s">
        <v>19</v>
      </c>
      <c r="I106" t="s">
        <v>19</v>
      </c>
      <c r="J106" t="s">
        <v>19</v>
      </c>
      <c r="K106" s="21" t="s">
        <v>607</v>
      </c>
      <c r="L106" s="5" t="s">
        <v>19</v>
      </c>
      <c r="M106" s="5" t="s">
        <v>19</v>
      </c>
      <c r="N106" s="5" t="str">
        <f>HYPERLINK("http://www.lghausys.co.kr/popup/rn/download/downloadPopup.jsp?from=plwindow&amp;uu=/upload/window/REPORT/LGH-TA15-269.pdf","2.1035")</f>
        <v>2.1035</v>
      </c>
      <c r="O106" s="5" t="s">
        <v>19</v>
      </c>
      <c r="P106" s="5" t="s">
        <v>19</v>
      </c>
      <c r="Q106" s="5" t="s">
        <v>19</v>
      </c>
      <c r="R106" s="5" t="s">
        <v>19</v>
      </c>
      <c r="S106" s="5" t="s">
        <v>19</v>
      </c>
      <c r="T106" s="5" t="s">
        <v>19</v>
      </c>
      <c r="U106" s="5" t="s">
        <v>19</v>
      </c>
      <c r="V106" s="5" t="s">
        <v>19</v>
      </c>
      <c r="W106" s="5" t="s">
        <v>75</v>
      </c>
      <c r="X106" s="5">
        <v>1.6517999999999999</v>
      </c>
    </row>
    <row r="107" spans="1:24">
      <c r="A107" t="s">
        <v>44</v>
      </c>
      <c r="B107" t="s">
        <v>19</v>
      </c>
      <c r="C107" t="s">
        <v>34</v>
      </c>
      <c r="D107" t="s">
        <v>76</v>
      </c>
      <c r="E107" t="s">
        <v>19</v>
      </c>
      <c r="F107" t="s">
        <v>19</v>
      </c>
      <c r="G107" t="s">
        <v>19</v>
      </c>
      <c r="H107" t="s">
        <v>19</v>
      </c>
      <c r="I107" t="s">
        <v>19</v>
      </c>
      <c r="J107" t="s">
        <v>19</v>
      </c>
      <c r="K107" s="21" t="s">
        <v>607</v>
      </c>
      <c r="L107" s="5" t="s">
        <v>19</v>
      </c>
      <c r="M107" s="5" t="s">
        <v>19</v>
      </c>
      <c r="N107" s="5" t="str">
        <f>HYPERLINK("http://www.lghausys.co.kr/popup/rn/download/downloadPopup.jsp?from=plwindow&amp;uu=/upload/window/REPORT/LGH-TA15-271.pdf","1.4316")</f>
        <v>1.4316</v>
      </c>
      <c r="O107" s="5" t="s">
        <v>19</v>
      </c>
      <c r="P107" s="5" t="s">
        <v>19</v>
      </c>
      <c r="Q107" s="5" t="s">
        <v>19</v>
      </c>
      <c r="R107" s="5" t="s">
        <v>19</v>
      </c>
      <c r="S107" s="5" t="s">
        <v>19</v>
      </c>
      <c r="T107" s="5" t="s">
        <v>19</v>
      </c>
      <c r="U107" s="5" t="s">
        <v>19</v>
      </c>
      <c r="V107" s="5" t="s">
        <v>19</v>
      </c>
      <c r="W107" s="5" t="s">
        <v>75</v>
      </c>
      <c r="X107" s="5">
        <v>1.1777</v>
      </c>
    </row>
    <row r="108" spans="1:24">
      <c r="A108" t="s">
        <v>44</v>
      </c>
      <c r="B108" t="s">
        <v>19</v>
      </c>
      <c r="C108" t="s">
        <v>34</v>
      </c>
      <c r="D108" t="s">
        <v>66</v>
      </c>
      <c r="E108" t="s">
        <v>19</v>
      </c>
      <c r="F108" t="s">
        <v>19</v>
      </c>
      <c r="G108" t="s">
        <v>19</v>
      </c>
      <c r="H108" t="s">
        <v>19</v>
      </c>
      <c r="I108" t="s">
        <v>19</v>
      </c>
      <c r="J108" t="s">
        <v>19</v>
      </c>
      <c r="K108" s="21" t="s">
        <v>607</v>
      </c>
      <c r="L108" s="5" t="s">
        <v>19</v>
      </c>
      <c r="M108" s="5" t="s">
        <v>19</v>
      </c>
      <c r="N108" s="5" t="str">
        <f>HYPERLINK("http://www.lghausys.co.kr/popup/rn/download/downloadPopup.jsp?from=plwindow&amp;uu=/upload/window/REPORT/LGH-TA15-272.pdf","1.7292")</f>
        <v>1.7292</v>
      </c>
      <c r="O108" s="5" t="s">
        <v>19</v>
      </c>
      <c r="P108" s="5" t="s">
        <v>19</v>
      </c>
      <c r="Q108" s="5" t="s">
        <v>19</v>
      </c>
      <c r="R108" s="5" t="s">
        <v>19</v>
      </c>
      <c r="S108" s="5" t="s">
        <v>19</v>
      </c>
      <c r="T108" s="5" t="s">
        <v>19</v>
      </c>
      <c r="U108" s="5" t="s">
        <v>19</v>
      </c>
      <c r="V108" s="5" t="s">
        <v>19</v>
      </c>
      <c r="W108" s="5" t="s">
        <v>75</v>
      </c>
      <c r="X108" s="5">
        <v>0.94869999999999999</v>
      </c>
    </row>
    <row r="109" spans="1:24">
      <c r="A109" t="s">
        <v>19</v>
      </c>
      <c r="B109" t="s">
        <v>48</v>
      </c>
      <c r="C109" t="s">
        <v>34</v>
      </c>
      <c r="D109" t="s">
        <v>28</v>
      </c>
      <c r="E109" t="s">
        <v>19</v>
      </c>
      <c r="F109" t="s">
        <v>19</v>
      </c>
      <c r="G109" t="s">
        <v>19</v>
      </c>
      <c r="H109" t="s">
        <v>28</v>
      </c>
      <c r="I109" t="s">
        <v>19</v>
      </c>
      <c r="J109" t="s">
        <v>19</v>
      </c>
      <c r="K109" s="21" t="s">
        <v>607</v>
      </c>
      <c r="L109" s="5" t="s">
        <v>19</v>
      </c>
      <c r="M109" s="5" t="s">
        <v>19</v>
      </c>
      <c r="N109" s="5" t="str">
        <f>HYPERLINK("http://www.lghausys.co.kr/popup/rn/download/downloadPopup.jsp?from=plwindow&amp;uu=/upload/window/REPORT/LGH-TA15-275.pdf","0.8003")</f>
        <v>0.8003</v>
      </c>
      <c r="O109" s="5" t="s">
        <v>19</v>
      </c>
      <c r="P109" s="5" t="s">
        <v>19</v>
      </c>
      <c r="Q109" s="5" t="s">
        <v>19</v>
      </c>
      <c r="R109" s="5" t="s">
        <v>19</v>
      </c>
      <c r="S109" s="5" t="s">
        <v>19</v>
      </c>
      <c r="T109" s="5" t="s">
        <v>19</v>
      </c>
      <c r="U109" s="5" t="s">
        <v>19</v>
      </c>
      <c r="V109" s="5" t="s">
        <v>19</v>
      </c>
      <c r="W109" s="5" t="s">
        <v>75</v>
      </c>
      <c r="X109" s="5">
        <v>0.84389999999999998</v>
      </c>
    </row>
    <row r="110" spans="1:24">
      <c r="A110" t="s">
        <v>69</v>
      </c>
      <c r="B110" t="s">
        <v>19</v>
      </c>
      <c r="C110" t="s">
        <v>34</v>
      </c>
      <c r="D110" t="s">
        <v>21</v>
      </c>
      <c r="E110" t="s">
        <v>19</v>
      </c>
      <c r="F110" t="s">
        <v>19</v>
      </c>
      <c r="G110" t="s">
        <v>19</v>
      </c>
      <c r="H110" t="s">
        <v>19</v>
      </c>
      <c r="I110" t="s">
        <v>19</v>
      </c>
      <c r="J110" t="s">
        <v>19</v>
      </c>
      <c r="K110" s="21" t="s">
        <v>607</v>
      </c>
      <c r="L110" s="5" t="s">
        <v>19</v>
      </c>
      <c r="M110" s="5" t="s">
        <v>19</v>
      </c>
      <c r="N110" s="5" t="str">
        <f>HYPERLINK("http://www.lghausys.co.kr/popup/rn/download/downloadPopup.jsp?from=plwindow&amp;uu=/upload/window/REPORT/LGH-TA16-045.pdf","1.6523")</f>
        <v>1.6523</v>
      </c>
      <c r="O110" s="5" t="s">
        <v>19</v>
      </c>
      <c r="P110" s="5" t="s">
        <v>19</v>
      </c>
      <c r="Q110" s="5" t="s">
        <v>19</v>
      </c>
      <c r="R110" s="5" t="s">
        <v>19</v>
      </c>
      <c r="S110" s="5" t="s">
        <v>19</v>
      </c>
      <c r="T110" s="5" t="s">
        <v>19</v>
      </c>
      <c r="U110" s="5" t="s">
        <v>19</v>
      </c>
      <c r="V110" s="5" t="s">
        <v>19</v>
      </c>
      <c r="W110" s="5" t="s">
        <v>75</v>
      </c>
      <c r="X110" s="5">
        <v>0.80789999999999995</v>
      </c>
    </row>
    <row r="111" spans="1:24">
      <c r="A111" t="s">
        <v>69</v>
      </c>
      <c r="B111" t="s">
        <v>19</v>
      </c>
      <c r="C111" t="s">
        <v>34</v>
      </c>
      <c r="D111" t="s">
        <v>56</v>
      </c>
      <c r="E111" t="s">
        <v>19</v>
      </c>
      <c r="F111" t="s">
        <v>19</v>
      </c>
      <c r="G111" t="s">
        <v>19</v>
      </c>
      <c r="H111" t="s">
        <v>19</v>
      </c>
      <c r="I111" t="s">
        <v>19</v>
      </c>
      <c r="J111" t="s">
        <v>19</v>
      </c>
      <c r="K111" s="21" t="s">
        <v>607</v>
      </c>
      <c r="L111" s="5" t="s">
        <v>19</v>
      </c>
      <c r="M111" s="5" t="s">
        <v>19</v>
      </c>
      <c r="N111" s="5" t="str">
        <f>HYPERLINK("http://www.lghausys.co.kr/popup/rn/download/downloadPopup.jsp?from=plwindow&amp;uu=/upload/window/REPORT/LGH-TA16-052.pdf","1.6592")</f>
        <v>1.6592</v>
      </c>
      <c r="O111" s="5" t="s">
        <v>19</v>
      </c>
      <c r="P111" s="5" t="s">
        <v>19</v>
      </c>
      <c r="Q111" s="5" t="s">
        <v>19</v>
      </c>
      <c r="R111" s="5" t="s">
        <v>19</v>
      </c>
      <c r="S111" s="5" t="s">
        <v>19</v>
      </c>
      <c r="T111" s="5" t="s">
        <v>19</v>
      </c>
      <c r="U111" s="5" t="s">
        <v>19</v>
      </c>
      <c r="V111" s="5" t="s">
        <v>19</v>
      </c>
      <c r="W111" s="5" t="s">
        <v>75</v>
      </c>
      <c r="X111" s="5">
        <v>1.9399</v>
      </c>
    </row>
    <row r="112" spans="1:24">
      <c r="A112" t="s">
        <v>19</v>
      </c>
      <c r="B112" t="s">
        <v>82</v>
      </c>
      <c r="C112" t="s">
        <v>34</v>
      </c>
      <c r="D112" t="s">
        <v>28</v>
      </c>
      <c r="E112" t="s">
        <v>19</v>
      </c>
      <c r="F112" t="s">
        <v>19</v>
      </c>
      <c r="G112" t="s">
        <v>19</v>
      </c>
      <c r="H112" t="s">
        <v>19</v>
      </c>
      <c r="I112" t="s">
        <v>19</v>
      </c>
      <c r="J112" t="s">
        <v>19</v>
      </c>
      <c r="K112" s="21" t="s">
        <v>607</v>
      </c>
      <c r="L112" s="5" t="s">
        <v>19</v>
      </c>
      <c r="M112" s="5" t="s">
        <v>19</v>
      </c>
      <c r="N112" s="5" t="str">
        <f>HYPERLINK("http://www.lghausys.co.kr/popup/rn/download/downloadPopup.jsp?from=plwindow&amp;uu=/upload/window/REPORT/LGH-TA16-073.pdf","2.1358")</f>
        <v>2.1358</v>
      </c>
      <c r="O112" s="5" t="s">
        <v>19</v>
      </c>
      <c r="P112" s="5" t="s">
        <v>19</v>
      </c>
      <c r="Q112" s="5" t="s">
        <v>19</v>
      </c>
      <c r="R112" s="5" t="s">
        <v>19</v>
      </c>
      <c r="S112" s="5" t="s">
        <v>19</v>
      </c>
      <c r="T112" s="5" t="s">
        <v>19</v>
      </c>
      <c r="U112" s="5" t="s">
        <v>19</v>
      </c>
      <c r="V112" s="5" t="s">
        <v>19</v>
      </c>
      <c r="W112" s="5" t="s">
        <v>75</v>
      </c>
      <c r="X112" s="5">
        <v>0.83400000000000007</v>
      </c>
    </row>
    <row r="113" spans="1:24">
      <c r="A113" t="s">
        <v>72</v>
      </c>
      <c r="B113" t="s">
        <v>19</v>
      </c>
      <c r="C113" t="s">
        <v>34</v>
      </c>
      <c r="D113" t="s">
        <v>41</v>
      </c>
      <c r="E113" t="s">
        <v>19</v>
      </c>
      <c r="F113" t="s">
        <v>19</v>
      </c>
      <c r="G113" t="s">
        <v>19</v>
      </c>
      <c r="H113" t="s">
        <v>19</v>
      </c>
      <c r="I113" t="s">
        <v>19</v>
      </c>
      <c r="J113" t="s">
        <v>19</v>
      </c>
      <c r="K113" s="21" t="s">
        <v>607</v>
      </c>
      <c r="L113" s="5" t="s">
        <v>19</v>
      </c>
      <c r="M113" s="5" t="s">
        <v>19</v>
      </c>
      <c r="N113" s="5" t="str">
        <f>HYPERLINK("http://www.lghausys.co.kr/popup/rn/download/downloadPopup.jsp?from=plwindow&amp;uu=/upload/window/REPORT/LGH-TA16-092.pdf","3.2852")</f>
        <v>3.2852</v>
      </c>
      <c r="O113" s="5" t="s">
        <v>19</v>
      </c>
      <c r="P113" s="5" t="s">
        <v>19</v>
      </c>
      <c r="Q113" s="5" t="s">
        <v>19</v>
      </c>
      <c r="R113" s="5" t="s">
        <v>19</v>
      </c>
      <c r="S113" s="5" t="s">
        <v>19</v>
      </c>
      <c r="T113" s="5" t="s">
        <v>19</v>
      </c>
      <c r="U113" s="5" t="s">
        <v>19</v>
      </c>
      <c r="V113" s="5" t="s">
        <v>19</v>
      </c>
      <c r="W113" s="5" t="s">
        <v>75</v>
      </c>
      <c r="X113" s="5">
        <v>1.0394000000000001</v>
      </c>
    </row>
    <row r="114" spans="1:24">
      <c r="A114" t="s">
        <v>72</v>
      </c>
      <c r="B114" t="s">
        <v>19</v>
      </c>
      <c r="C114" t="s">
        <v>34</v>
      </c>
      <c r="D114" t="s">
        <v>25</v>
      </c>
      <c r="E114" t="s">
        <v>19</v>
      </c>
      <c r="F114" t="s">
        <v>19</v>
      </c>
      <c r="G114" t="s">
        <v>19</v>
      </c>
      <c r="H114" t="s">
        <v>19</v>
      </c>
      <c r="I114" t="s">
        <v>19</v>
      </c>
      <c r="J114" t="s">
        <v>19</v>
      </c>
      <c r="K114" s="21" t="s">
        <v>607</v>
      </c>
      <c r="L114" s="5" t="s">
        <v>19</v>
      </c>
      <c r="M114" s="5" t="s">
        <v>19</v>
      </c>
      <c r="N114" s="5" t="str">
        <f>HYPERLINK("http://www.lghausys.co.kr/popup/rn/download/downloadPopup.jsp?from=plwindow&amp;uu=/upload/window/REPORT/LGH-TA16-093.pdf","3.0066")</f>
        <v>3.0066</v>
      </c>
      <c r="O114" s="5" t="s">
        <v>19</v>
      </c>
      <c r="P114" s="5" t="s">
        <v>19</v>
      </c>
      <c r="Q114" s="5" t="s">
        <v>19</v>
      </c>
      <c r="R114" s="5" t="s">
        <v>19</v>
      </c>
      <c r="S114" s="5" t="s">
        <v>19</v>
      </c>
      <c r="T114" s="5" t="s">
        <v>19</v>
      </c>
      <c r="U114" s="5" t="s">
        <v>19</v>
      </c>
      <c r="V114" s="5" t="s">
        <v>19</v>
      </c>
      <c r="W114" s="5" t="s">
        <v>75</v>
      </c>
      <c r="X114" s="5">
        <v>1.347</v>
      </c>
    </row>
    <row r="115" spans="1:24">
      <c r="A115" t="s">
        <v>19</v>
      </c>
      <c r="B115" t="s">
        <v>93</v>
      </c>
      <c r="C115" t="s">
        <v>34</v>
      </c>
      <c r="D115" t="s">
        <v>41</v>
      </c>
      <c r="E115" t="s">
        <v>19</v>
      </c>
      <c r="F115" t="s">
        <v>19</v>
      </c>
      <c r="G115" t="s">
        <v>19</v>
      </c>
      <c r="H115" t="s">
        <v>19</v>
      </c>
      <c r="I115" t="s">
        <v>19</v>
      </c>
      <c r="J115" t="s">
        <v>19</v>
      </c>
      <c r="K115" s="21" t="s">
        <v>607</v>
      </c>
      <c r="L115" s="5" t="s">
        <v>19</v>
      </c>
      <c r="M115" s="5" t="s">
        <v>19</v>
      </c>
      <c r="N115" s="5" t="str">
        <f>HYPERLINK("http://www.lghausys.co.kr/popup/rn/download/downloadPopup.jsp?from=plwindow&amp;uu=/upload/window/REPORT/LGH-TA16-094.pdf","3.2819")</f>
        <v>3.2819</v>
      </c>
      <c r="O115" s="5" t="s">
        <v>19</v>
      </c>
      <c r="P115" s="5" t="s">
        <v>19</v>
      </c>
      <c r="Q115" s="5" t="s">
        <v>19</v>
      </c>
      <c r="R115" s="5" t="s">
        <v>19</v>
      </c>
      <c r="S115" s="5" t="s">
        <v>19</v>
      </c>
      <c r="T115" s="5" t="s">
        <v>19</v>
      </c>
      <c r="U115" s="5" t="s">
        <v>19</v>
      </c>
      <c r="V115" s="5" t="s">
        <v>19</v>
      </c>
      <c r="W115" s="5" t="s">
        <v>75</v>
      </c>
      <c r="X115" s="5">
        <v>0.83860000000000001</v>
      </c>
    </row>
    <row r="116" spans="1:24">
      <c r="A116" t="s">
        <v>19</v>
      </c>
      <c r="B116" t="s">
        <v>93</v>
      </c>
      <c r="C116" t="s">
        <v>34</v>
      </c>
      <c r="D116" t="s">
        <v>25</v>
      </c>
      <c r="E116" t="s">
        <v>19</v>
      </c>
      <c r="F116" t="s">
        <v>19</v>
      </c>
      <c r="G116" t="s">
        <v>19</v>
      </c>
      <c r="H116" t="s">
        <v>19</v>
      </c>
      <c r="I116" t="s">
        <v>19</v>
      </c>
      <c r="J116" t="s">
        <v>19</v>
      </c>
      <c r="K116" s="21" t="s">
        <v>607</v>
      </c>
      <c r="L116" s="5" t="s">
        <v>19</v>
      </c>
      <c r="M116" s="5" t="s">
        <v>19</v>
      </c>
      <c r="N116" s="5" t="str">
        <f>HYPERLINK("http://www.lghausys.co.kr/popup/rn/download/downloadPopup.jsp?from=plwindow&amp;uu=/upload/window/REPORT/LGH-TA16-095.pdf","2.9922")</f>
        <v>2.9922</v>
      </c>
      <c r="O116" s="5" t="s">
        <v>19</v>
      </c>
      <c r="P116" s="5" t="s">
        <v>19</v>
      </c>
      <c r="Q116" s="5" t="s">
        <v>19</v>
      </c>
      <c r="R116" s="5" t="s">
        <v>19</v>
      </c>
      <c r="S116" s="5" t="s">
        <v>19</v>
      </c>
      <c r="T116" s="5" t="s">
        <v>19</v>
      </c>
      <c r="U116" s="5" t="s">
        <v>19</v>
      </c>
      <c r="V116" s="5" t="s">
        <v>19</v>
      </c>
      <c r="W116" s="5" t="s">
        <v>75</v>
      </c>
      <c r="X116" s="5">
        <v>1.6012999999999999</v>
      </c>
    </row>
    <row r="117" spans="1:24">
      <c r="A117" t="s">
        <v>19</v>
      </c>
      <c r="B117" t="s">
        <v>83</v>
      </c>
      <c r="C117" t="s">
        <v>34</v>
      </c>
      <c r="D117" t="s">
        <v>25</v>
      </c>
      <c r="E117" t="s">
        <v>19</v>
      </c>
      <c r="F117" t="s">
        <v>19</v>
      </c>
      <c r="G117" t="s">
        <v>19</v>
      </c>
      <c r="H117" t="s">
        <v>19</v>
      </c>
      <c r="I117" t="s">
        <v>19</v>
      </c>
      <c r="J117" t="s">
        <v>74</v>
      </c>
      <c r="K117" s="21" t="s">
        <v>607</v>
      </c>
      <c r="L117" s="5" t="s">
        <v>19</v>
      </c>
      <c r="M117" s="5" t="s">
        <v>19</v>
      </c>
      <c r="N117" s="5" t="str">
        <f>HYPERLINK("http://www.lghausys.co.kr/popup/rn/download/downloadPopup.jsp?from=plwindow&amp;uu=/upload/window/REPORT/LGH-TA16-119.pdf","3.0553")</f>
        <v>3.0553</v>
      </c>
      <c r="O117" s="5" t="s">
        <v>19</v>
      </c>
      <c r="P117" s="5" t="s">
        <v>19</v>
      </c>
      <c r="Q117" s="5" t="s">
        <v>19</v>
      </c>
      <c r="R117" s="5" t="s">
        <v>19</v>
      </c>
      <c r="S117" s="5" t="s">
        <v>19</v>
      </c>
      <c r="T117" s="5" t="s">
        <v>19</v>
      </c>
      <c r="U117" s="5" t="s">
        <v>19</v>
      </c>
      <c r="V117" s="5" t="s">
        <v>19</v>
      </c>
      <c r="W117" s="5" t="s">
        <v>75</v>
      </c>
      <c r="X117" s="5">
        <v>0.79099999999999993</v>
      </c>
    </row>
    <row r="118" spans="1:24">
      <c r="A118" t="s">
        <v>42</v>
      </c>
      <c r="B118" t="s">
        <v>43</v>
      </c>
      <c r="C118" t="s">
        <v>34</v>
      </c>
      <c r="D118" t="s">
        <v>94</v>
      </c>
      <c r="E118" t="s">
        <v>19</v>
      </c>
      <c r="F118" t="s">
        <v>19</v>
      </c>
      <c r="G118" t="s">
        <v>19</v>
      </c>
      <c r="H118" t="s">
        <v>19</v>
      </c>
      <c r="I118" t="s">
        <v>19</v>
      </c>
      <c r="J118" t="s">
        <v>74</v>
      </c>
      <c r="K118" s="21" t="s">
        <v>607</v>
      </c>
      <c r="L118" s="5" t="s">
        <v>19</v>
      </c>
      <c r="M118" s="5" t="s">
        <v>19</v>
      </c>
      <c r="N118" s="5" t="str">
        <f>HYPERLINK("http://www.lghausys.co.kr/popup/rn/download/downloadPopup.jsp?from=plwindow&amp;uu=/upload/window/REPORT/LGH-TA16-122.pdf","2.0924")</f>
        <v>2.0924</v>
      </c>
      <c r="O118" s="5" t="s">
        <v>19</v>
      </c>
      <c r="P118" s="5" t="s">
        <v>19</v>
      </c>
      <c r="Q118" s="5" t="s">
        <v>19</v>
      </c>
      <c r="R118" s="5" t="s">
        <v>19</v>
      </c>
      <c r="S118" s="5" t="s">
        <v>19</v>
      </c>
      <c r="T118" s="5" t="s">
        <v>19</v>
      </c>
      <c r="U118" s="5" t="s">
        <v>19</v>
      </c>
      <c r="V118" s="5" t="s">
        <v>19</v>
      </c>
      <c r="W118" s="5" t="s">
        <v>75</v>
      </c>
      <c r="X118" s="5">
        <v>1.2737000000000001</v>
      </c>
    </row>
    <row r="119" spans="1:24">
      <c r="A119" t="s">
        <v>95</v>
      </c>
      <c r="B119" t="s">
        <v>19</v>
      </c>
      <c r="C119" t="s">
        <v>34</v>
      </c>
      <c r="D119" t="s">
        <v>25</v>
      </c>
      <c r="E119" t="s">
        <v>19</v>
      </c>
      <c r="F119" t="s">
        <v>19</v>
      </c>
      <c r="G119" t="s">
        <v>19</v>
      </c>
      <c r="H119" t="s">
        <v>19</v>
      </c>
      <c r="I119" t="s">
        <v>19</v>
      </c>
      <c r="J119" t="s">
        <v>74</v>
      </c>
      <c r="K119" s="21" t="s">
        <v>607</v>
      </c>
      <c r="L119" s="5" t="s">
        <v>19</v>
      </c>
      <c r="M119" s="5" t="s">
        <v>19</v>
      </c>
      <c r="N119" s="5" t="str">
        <f>HYPERLINK("http://www.lghausys.co.kr/popup/rn/download/downloadPopup.jsp?from=plwindow&amp;uu=/upload/window/REPORT/LGH-TA16-139.pdf","2.6617")</f>
        <v>2.6617</v>
      </c>
      <c r="O119" s="5" t="s">
        <v>19</v>
      </c>
      <c r="P119" s="5" t="s">
        <v>19</v>
      </c>
      <c r="Q119" s="5" t="s">
        <v>19</v>
      </c>
      <c r="R119" s="5" t="s">
        <v>19</v>
      </c>
      <c r="S119" s="5" t="s">
        <v>19</v>
      </c>
      <c r="T119" s="5" t="s">
        <v>19</v>
      </c>
      <c r="U119" s="5" t="s">
        <v>19</v>
      </c>
      <c r="V119" s="5" t="s">
        <v>19</v>
      </c>
      <c r="W119" s="5" t="s">
        <v>75</v>
      </c>
      <c r="X119" s="5">
        <v>1.3317000000000001</v>
      </c>
    </row>
    <row r="120" spans="1:24">
      <c r="A120" t="s">
        <v>27</v>
      </c>
      <c r="B120" t="s">
        <v>19</v>
      </c>
      <c r="C120" t="s">
        <v>34</v>
      </c>
      <c r="D120" t="s">
        <v>28</v>
      </c>
      <c r="E120" t="s">
        <v>96</v>
      </c>
      <c r="F120" t="s">
        <v>19</v>
      </c>
      <c r="G120" t="s">
        <v>19</v>
      </c>
      <c r="H120" t="s">
        <v>25</v>
      </c>
      <c r="I120" t="s">
        <v>19</v>
      </c>
      <c r="J120" t="s">
        <v>97</v>
      </c>
      <c r="K120" s="21" t="s">
        <v>607</v>
      </c>
      <c r="L120" s="5" t="s">
        <v>19</v>
      </c>
      <c r="M120" s="5" t="s">
        <v>19</v>
      </c>
      <c r="N120" s="5" t="str">
        <f>HYPERLINK("http://www.lghausys.co.kr/popup/rn/download/downloadPopup.jsp?from=plwindow&amp;uu=/upload/window/REPORT/LGH-TA16-140.pdf","1.0289")</f>
        <v>1.0289</v>
      </c>
      <c r="O120" s="5" t="s">
        <v>19</v>
      </c>
      <c r="P120" s="5" t="s">
        <v>19</v>
      </c>
      <c r="Q120" s="5" t="s">
        <v>19</v>
      </c>
      <c r="R120" s="5" t="s">
        <v>19</v>
      </c>
      <c r="S120" s="5" t="s">
        <v>19</v>
      </c>
      <c r="T120" s="5" t="s">
        <v>19</v>
      </c>
      <c r="U120" s="5" t="s">
        <v>19</v>
      </c>
      <c r="V120" s="5" t="s">
        <v>19</v>
      </c>
      <c r="W120" s="5" t="s">
        <v>75</v>
      </c>
      <c r="X120" s="5">
        <v>1.8231999999999999</v>
      </c>
    </row>
    <row r="121" spans="1:24">
      <c r="A121" t="s">
        <v>27</v>
      </c>
      <c r="B121" t="s">
        <v>19</v>
      </c>
      <c r="C121" t="s">
        <v>34</v>
      </c>
      <c r="D121" t="s">
        <v>53</v>
      </c>
      <c r="E121" t="s">
        <v>98</v>
      </c>
      <c r="F121" t="s">
        <v>19</v>
      </c>
      <c r="G121" t="s">
        <v>19</v>
      </c>
      <c r="H121" t="s">
        <v>25</v>
      </c>
      <c r="I121" t="s">
        <v>19</v>
      </c>
      <c r="J121" t="s">
        <v>97</v>
      </c>
      <c r="K121" s="21" t="s">
        <v>607</v>
      </c>
      <c r="L121" s="5" t="s">
        <v>19</v>
      </c>
      <c r="M121" s="5" t="s">
        <v>19</v>
      </c>
      <c r="N121" s="5" t="str">
        <f>HYPERLINK("http://www.lghausys.co.kr/popup/rn/download/downloadPopup.jsp?from=plwindow&amp;uu=/upload/window/REPORT/LGH-TA16-141.pdf","0.9511")</f>
        <v>0.9511</v>
      </c>
      <c r="O121" s="5" t="s">
        <v>19</v>
      </c>
      <c r="P121" s="5" t="s">
        <v>19</v>
      </c>
      <c r="Q121" s="5" t="s">
        <v>19</v>
      </c>
      <c r="R121" s="5" t="s">
        <v>19</v>
      </c>
      <c r="S121" s="5" t="s">
        <v>19</v>
      </c>
      <c r="T121" s="5" t="s">
        <v>19</v>
      </c>
      <c r="U121" s="5" t="s">
        <v>19</v>
      </c>
      <c r="V121" s="5" t="s">
        <v>19</v>
      </c>
      <c r="W121" s="5" t="s">
        <v>75</v>
      </c>
      <c r="X121" s="5">
        <v>1.2266999999999999</v>
      </c>
    </row>
    <row r="122" spans="1:24">
      <c r="A122" t="s">
        <v>42</v>
      </c>
      <c r="B122" t="s">
        <v>43</v>
      </c>
      <c r="C122" t="s">
        <v>34</v>
      </c>
      <c r="D122" t="s">
        <v>21</v>
      </c>
      <c r="E122" t="s">
        <v>19</v>
      </c>
      <c r="F122" t="s">
        <v>19</v>
      </c>
      <c r="G122" t="s">
        <v>19</v>
      </c>
      <c r="H122" t="s">
        <v>19</v>
      </c>
      <c r="I122" t="s">
        <v>19</v>
      </c>
      <c r="J122" t="s">
        <v>74</v>
      </c>
      <c r="K122" s="21" t="s">
        <v>607</v>
      </c>
      <c r="L122" s="5" t="s">
        <v>19</v>
      </c>
      <c r="M122" s="5" t="s">
        <v>19</v>
      </c>
      <c r="N122" s="5" t="str">
        <f>HYPERLINK("http://www.lghausys.co.kr/popup/rn/download/downloadPopup.jsp?from=plwindow&amp;uu=/upload/window/REPORT/LGH-TA16-186.pdf","1.7346")</f>
        <v>1.7346</v>
      </c>
      <c r="O122" s="5" t="s">
        <v>19</v>
      </c>
      <c r="P122" s="5" t="s">
        <v>19</v>
      </c>
      <c r="Q122" s="5" t="s">
        <v>19</v>
      </c>
      <c r="R122" s="5" t="s">
        <v>19</v>
      </c>
      <c r="S122" s="5" t="s">
        <v>19</v>
      </c>
      <c r="T122" s="5" t="s">
        <v>19</v>
      </c>
      <c r="U122" s="5" t="s">
        <v>19</v>
      </c>
      <c r="V122" s="5" t="s">
        <v>19</v>
      </c>
      <c r="W122" s="5" t="s">
        <v>75</v>
      </c>
      <c r="X122" s="5">
        <v>0.90569999999999995</v>
      </c>
    </row>
    <row r="123" spans="1:24">
      <c r="A123" t="s">
        <v>42</v>
      </c>
      <c r="B123" t="s">
        <v>43</v>
      </c>
      <c r="C123" t="s">
        <v>34</v>
      </c>
      <c r="D123" t="s">
        <v>21</v>
      </c>
      <c r="E123" t="s">
        <v>19</v>
      </c>
      <c r="F123" t="s">
        <v>19</v>
      </c>
      <c r="G123" t="s">
        <v>19</v>
      </c>
      <c r="H123" t="s">
        <v>19</v>
      </c>
      <c r="I123" t="s">
        <v>19</v>
      </c>
      <c r="J123" t="s">
        <v>74</v>
      </c>
      <c r="K123" s="21" t="s">
        <v>607</v>
      </c>
      <c r="L123" s="5" t="s">
        <v>19</v>
      </c>
      <c r="M123" s="5" t="s">
        <v>19</v>
      </c>
      <c r="N123" s="5" t="str">
        <f>HYPERLINK("http://www.lghausys.co.kr/popup/rn/download/downloadPopup.jsp?from=plwindow&amp;uu=/upload/window/REPORT/LGH-TA16-187.pdf","2.0661")</f>
        <v>2.0661</v>
      </c>
      <c r="O123" s="5" t="s">
        <v>19</v>
      </c>
      <c r="P123" s="5" t="s">
        <v>19</v>
      </c>
      <c r="Q123" s="5" t="s">
        <v>19</v>
      </c>
      <c r="R123" s="5" t="s">
        <v>19</v>
      </c>
      <c r="S123" s="5" t="s">
        <v>19</v>
      </c>
      <c r="T123" s="5" t="s">
        <v>19</v>
      </c>
      <c r="U123" s="5" t="s">
        <v>19</v>
      </c>
      <c r="V123" s="5" t="s">
        <v>19</v>
      </c>
      <c r="W123" s="5" t="s">
        <v>75</v>
      </c>
      <c r="X123" s="5">
        <v>1.3604000000000001</v>
      </c>
    </row>
    <row r="124" spans="1:24">
      <c r="A124" t="s">
        <v>73</v>
      </c>
      <c r="B124" t="s">
        <v>19</v>
      </c>
      <c r="C124" t="s">
        <v>34</v>
      </c>
      <c r="D124" t="s">
        <v>25</v>
      </c>
      <c r="E124" t="s">
        <v>19</v>
      </c>
      <c r="F124" t="s">
        <v>19</v>
      </c>
      <c r="G124" t="s">
        <v>19</v>
      </c>
      <c r="H124" t="s">
        <v>25</v>
      </c>
      <c r="I124" t="s">
        <v>19</v>
      </c>
      <c r="J124" t="s">
        <v>74</v>
      </c>
      <c r="K124" s="21" t="s">
        <v>607</v>
      </c>
      <c r="L124" s="5" t="s">
        <v>19</v>
      </c>
      <c r="M124" s="5" t="s">
        <v>19</v>
      </c>
      <c r="N124" s="5" t="str">
        <f>HYPERLINK("http://www.lghausys.co.kr/popup/rn/download/downloadPopup.jsp?from=plwindow&amp;uu=/upload/window/REPORT/LGH-TA16-193.pdf","1.3827")</f>
        <v>1.3827</v>
      </c>
      <c r="O124" s="5" t="s">
        <v>19</v>
      </c>
      <c r="P124" s="5" t="s">
        <v>19</v>
      </c>
      <c r="Q124" s="5" t="s">
        <v>19</v>
      </c>
      <c r="R124" s="5" t="s">
        <v>19</v>
      </c>
      <c r="S124" s="5" t="s">
        <v>19</v>
      </c>
      <c r="T124" s="5" t="s">
        <v>19</v>
      </c>
      <c r="U124" s="5" t="s">
        <v>19</v>
      </c>
      <c r="V124" s="5" t="s">
        <v>19</v>
      </c>
      <c r="W124" s="5" t="s">
        <v>75</v>
      </c>
      <c r="X124" s="5">
        <v>0.93599999999999994</v>
      </c>
    </row>
    <row r="125" spans="1:24">
      <c r="A125" t="s">
        <v>19</v>
      </c>
      <c r="B125" t="s">
        <v>48</v>
      </c>
      <c r="C125" t="s">
        <v>34</v>
      </c>
      <c r="D125" t="s">
        <v>28</v>
      </c>
      <c r="E125" t="s">
        <v>19</v>
      </c>
      <c r="F125" t="s">
        <v>19</v>
      </c>
      <c r="G125" t="s">
        <v>19</v>
      </c>
      <c r="H125" t="s">
        <v>25</v>
      </c>
      <c r="I125" t="s">
        <v>19</v>
      </c>
      <c r="J125" t="s">
        <v>99</v>
      </c>
      <c r="K125" s="21" t="s">
        <v>607</v>
      </c>
      <c r="L125" s="5" t="s">
        <v>19</v>
      </c>
      <c r="M125" s="5" t="s">
        <v>19</v>
      </c>
      <c r="N125" s="5" t="str">
        <f>HYPERLINK("http://www.lghausys.co.kr/popup/rn/download/downloadPopup.jsp?from=plwindow&amp;uu=/upload/window/REPORT/LGH-TA16-196.pdf","1.0339")</f>
        <v>1.0339</v>
      </c>
      <c r="O125" s="5" t="s">
        <v>19</v>
      </c>
      <c r="P125" s="5" t="s">
        <v>19</v>
      </c>
      <c r="Q125" s="5" t="s">
        <v>19</v>
      </c>
      <c r="R125" s="5" t="s">
        <v>19</v>
      </c>
      <c r="S125" s="5" t="s">
        <v>19</v>
      </c>
      <c r="T125" s="5" t="s">
        <v>19</v>
      </c>
      <c r="U125" s="5" t="s">
        <v>19</v>
      </c>
      <c r="V125" s="5" t="s">
        <v>19</v>
      </c>
      <c r="W125" s="5" t="s">
        <v>75</v>
      </c>
      <c r="X125" s="5">
        <v>2.9028</v>
      </c>
    </row>
    <row r="126" spans="1:24">
      <c r="A126" t="s">
        <v>42</v>
      </c>
      <c r="B126" t="s">
        <v>43</v>
      </c>
      <c r="C126" t="s">
        <v>34</v>
      </c>
      <c r="D126" t="s">
        <v>68</v>
      </c>
      <c r="E126" t="s">
        <v>19</v>
      </c>
      <c r="F126" t="s">
        <v>19</v>
      </c>
      <c r="G126" t="s">
        <v>19</v>
      </c>
      <c r="H126" t="s">
        <v>19</v>
      </c>
      <c r="I126" t="s">
        <v>19</v>
      </c>
      <c r="J126" t="s">
        <v>74</v>
      </c>
      <c r="K126" s="21" t="s">
        <v>607</v>
      </c>
      <c r="L126" s="5" t="s">
        <v>19</v>
      </c>
      <c r="M126" s="5" t="s">
        <v>19</v>
      </c>
      <c r="N126" s="5" t="str">
        <f>HYPERLINK("http://www.lghausys.co.kr/popup/rn/download/downloadPopup.jsp?from=plwindow&amp;uu=/upload/window/REPORT/LGH-TA16-199.pdf","2.7322")</f>
        <v>2.7322</v>
      </c>
      <c r="O126" s="5" t="s">
        <v>19</v>
      </c>
      <c r="P126" s="5" t="s">
        <v>19</v>
      </c>
      <c r="Q126" s="5" t="s">
        <v>19</v>
      </c>
      <c r="R126" s="5" t="s">
        <v>19</v>
      </c>
      <c r="S126" s="5" t="s">
        <v>19</v>
      </c>
      <c r="T126" s="5" t="s">
        <v>19</v>
      </c>
      <c r="U126" s="5" t="s">
        <v>19</v>
      </c>
      <c r="V126" s="5" t="s">
        <v>19</v>
      </c>
      <c r="W126" s="5" t="s">
        <v>75</v>
      </c>
      <c r="X126" s="5">
        <v>1.8018000000000001</v>
      </c>
    </row>
    <row r="127" spans="1:24">
      <c r="A127" t="s">
        <v>100</v>
      </c>
      <c r="B127" t="s">
        <v>19</v>
      </c>
      <c r="C127" t="s">
        <v>34</v>
      </c>
      <c r="D127" t="s">
        <v>68</v>
      </c>
      <c r="E127" t="s">
        <v>19</v>
      </c>
      <c r="F127" t="s">
        <v>19</v>
      </c>
      <c r="G127" t="s">
        <v>19</v>
      </c>
      <c r="H127" t="s">
        <v>68</v>
      </c>
      <c r="I127" t="s">
        <v>19</v>
      </c>
      <c r="J127" t="s">
        <v>74</v>
      </c>
      <c r="K127" s="21" t="s">
        <v>607</v>
      </c>
      <c r="L127" s="5" t="s">
        <v>19</v>
      </c>
      <c r="M127" s="5" t="s">
        <v>19</v>
      </c>
      <c r="N127" s="5" t="str">
        <f>HYPERLINK("http://www.lghausys.co.kr/popup/rn/download/downloadPopup.jsp?from=plwindow&amp;uu=/upload/window/REPORT/LGH-TA16-200.pdf","1.294")</f>
        <v>1.294</v>
      </c>
      <c r="O127" s="5" t="s">
        <v>19</v>
      </c>
      <c r="P127" s="5" t="s">
        <v>19</v>
      </c>
      <c r="Q127" s="5" t="s">
        <v>19</v>
      </c>
      <c r="R127" s="5" t="s">
        <v>19</v>
      </c>
      <c r="S127" s="5" t="s">
        <v>19</v>
      </c>
      <c r="T127" s="5" t="s">
        <v>19</v>
      </c>
      <c r="U127" s="5" t="s">
        <v>19</v>
      </c>
      <c r="V127" s="5" t="s">
        <v>19</v>
      </c>
      <c r="W127" s="5" t="s">
        <v>75</v>
      </c>
      <c r="X127" s="5">
        <v>1.7461</v>
      </c>
    </row>
    <row r="128" spans="1:24">
      <c r="A128" t="s">
        <v>42</v>
      </c>
      <c r="B128" t="s">
        <v>43</v>
      </c>
      <c r="C128" t="s">
        <v>34</v>
      </c>
      <c r="D128" t="s">
        <v>101</v>
      </c>
      <c r="E128" t="s">
        <v>19</v>
      </c>
      <c r="F128" t="s">
        <v>19</v>
      </c>
      <c r="G128" t="s">
        <v>19</v>
      </c>
      <c r="H128" t="s">
        <v>19</v>
      </c>
      <c r="I128" t="s">
        <v>19</v>
      </c>
      <c r="J128" t="s">
        <v>97</v>
      </c>
      <c r="K128" s="21" t="s">
        <v>607</v>
      </c>
      <c r="L128" s="5" t="s">
        <v>19</v>
      </c>
      <c r="M128" s="5" t="s">
        <v>19</v>
      </c>
      <c r="N128" s="5" t="str">
        <f>HYPERLINK("http://www.lghausys.co.kr/popup/rn/download/downloadPopup.jsp?from=plwindow&amp;uu=/upload/window/REPORT/LGH-TA16-203.pdf","2.2331")</f>
        <v>2.2331</v>
      </c>
      <c r="O128" s="5" t="s">
        <v>19</v>
      </c>
      <c r="P128" s="5" t="s">
        <v>19</v>
      </c>
      <c r="Q128" s="5" t="s">
        <v>19</v>
      </c>
      <c r="R128" s="5" t="s">
        <v>19</v>
      </c>
      <c r="S128" s="5" t="s">
        <v>19</v>
      </c>
      <c r="T128" s="5" t="s">
        <v>19</v>
      </c>
      <c r="U128" s="5" t="s">
        <v>19</v>
      </c>
      <c r="V128" s="5" t="s">
        <v>19</v>
      </c>
      <c r="W128" s="5" t="s">
        <v>75</v>
      </c>
      <c r="X128" s="5">
        <v>0.94540000000000002</v>
      </c>
    </row>
    <row r="129" spans="1:24">
      <c r="A129" t="s">
        <v>52</v>
      </c>
      <c r="B129" t="s">
        <v>19</v>
      </c>
      <c r="C129" t="s">
        <v>34</v>
      </c>
      <c r="D129" t="s">
        <v>102</v>
      </c>
      <c r="E129" t="s">
        <v>19</v>
      </c>
      <c r="F129" t="s">
        <v>19</v>
      </c>
      <c r="G129" t="s">
        <v>19</v>
      </c>
      <c r="H129" t="s">
        <v>102</v>
      </c>
      <c r="I129" t="s">
        <v>19</v>
      </c>
      <c r="J129" t="s">
        <v>74</v>
      </c>
      <c r="K129" s="21" t="s">
        <v>607</v>
      </c>
      <c r="L129" s="5" t="s">
        <v>19</v>
      </c>
      <c r="M129" s="5" t="s">
        <v>19</v>
      </c>
      <c r="N129" s="5" t="str">
        <f>HYPERLINK("http://www.lghausys.co.kr/popup/rn/download/downloadPopup.jsp?from=plwindow&amp;uu=/upload/window/REPORT/LGH-TA16-206.pdf","0.8141")</f>
        <v>0.8141</v>
      </c>
      <c r="O129" s="5" t="s">
        <v>19</v>
      </c>
      <c r="P129" s="5" t="s">
        <v>19</v>
      </c>
      <c r="Q129" s="5" t="s">
        <v>19</v>
      </c>
      <c r="R129" s="5" t="s">
        <v>19</v>
      </c>
      <c r="S129" s="5" t="s">
        <v>19</v>
      </c>
      <c r="T129" s="5" t="s">
        <v>19</v>
      </c>
      <c r="U129" s="5" t="s">
        <v>19</v>
      </c>
      <c r="V129" s="5" t="s">
        <v>19</v>
      </c>
      <c r="W129" s="5" t="s">
        <v>75</v>
      </c>
      <c r="X129" s="5">
        <v>0.94230000000000003</v>
      </c>
    </row>
    <row r="130" spans="1:24">
      <c r="A130" t="s">
        <v>19</v>
      </c>
      <c r="B130" t="s">
        <v>48</v>
      </c>
      <c r="C130" t="s">
        <v>20</v>
      </c>
      <c r="D130" t="s">
        <v>25</v>
      </c>
      <c r="E130" t="s">
        <v>19</v>
      </c>
      <c r="F130" t="s">
        <v>19</v>
      </c>
      <c r="G130" t="s">
        <v>19</v>
      </c>
      <c r="H130" t="s">
        <v>25</v>
      </c>
      <c r="I130" t="s">
        <v>19</v>
      </c>
      <c r="J130" t="s">
        <v>19</v>
      </c>
      <c r="K130" s="21" t="str">
        <f>IF(X130&lt;=0.9,HYPERLINK("http://www.lxhausys.co.kr/popup/rn/download/downloadPopup.jsp?from=plwindow&amp;uu=/upload/window/REPORT/LGH-TW12-009.pdf","1등급"),IF(X130&lt;=1.2,HYPERLINK("http://www.lxhausys.co.kr/popup/rn/download/downloadPopup.jsp?from=plwindow&amp;uu=/upload/window/REPORT/LGH-TW12-009.pdf","2등급"),IF(X130&lt;=1.8,HYPERLINK("http://www.lxhausys.co.kr/popup/rn/download/downloadPopup.jsp?from=plwindow&amp;uu=/upload/window/REPORT/LGH-TW12-009.pdf","3등급"),IF(X130&lt;=2.3,HYPERLINK("http://www.lxhausys.co.kr/popup/rn/download/downloadPopup.jsp?from=plwindow&amp;uu=/upload/window/REPORT/LGH-TW12-009.pdf","4등급"),IF(X130&lt;=2.8,HYPERLINK("http://www.lxhausys.co.kr/popup/rn/download/downloadPopup.jsp?from=plwindow&amp;uu=/upload/window/REPORT/LGH-TW12-009.pdf","5등급"),HYPERLINK("http://www.lxhausys.co.kr/popup/rn/download/downloadPopup.jsp?from=plwindow&amp;uu=/upload/window/REPORT/LGH-TW12-009.pdf","등급외"))))))</f>
        <v>3등급</v>
      </c>
      <c r="L130" s="5">
        <v>1.2470000000000001</v>
      </c>
      <c r="M130" s="5" t="s">
        <v>22</v>
      </c>
      <c r="N130" s="5" t="s">
        <v>607</v>
      </c>
      <c r="O130" s="5" t="s">
        <v>19</v>
      </c>
      <c r="P130" s="5" t="s">
        <v>19</v>
      </c>
      <c r="Q130" s="5" t="s">
        <v>19</v>
      </c>
      <c r="R130" s="5" t="s">
        <v>19</v>
      </c>
      <c r="S130" s="5" t="s">
        <v>19</v>
      </c>
      <c r="T130" s="5" t="s">
        <v>19</v>
      </c>
      <c r="U130" s="5" t="s">
        <v>19</v>
      </c>
      <c r="V130" s="5" t="s">
        <v>19</v>
      </c>
      <c r="W130" s="5" t="s">
        <v>19</v>
      </c>
      <c r="X130" s="19">
        <f t="shared" ref="X130:X193" si="0">L130</f>
        <v>1.2470000000000001</v>
      </c>
    </row>
    <row r="131" spans="1:24">
      <c r="A131" t="s">
        <v>19</v>
      </c>
      <c r="B131" t="s">
        <v>90</v>
      </c>
      <c r="C131" t="s">
        <v>20</v>
      </c>
      <c r="D131" t="s">
        <v>25</v>
      </c>
      <c r="E131" t="s">
        <v>19</v>
      </c>
      <c r="F131" t="s">
        <v>19</v>
      </c>
      <c r="G131" t="s">
        <v>19</v>
      </c>
      <c r="H131" t="s">
        <v>25</v>
      </c>
      <c r="I131" t="s">
        <v>19</v>
      </c>
      <c r="J131" t="s">
        <v>19</v>
      </c>
      <c r="K131" s="21" t="str">
        <f>IF(X131&lt;=0.9,HYPERLINK("http://www.lxhausys.co.kr/popup/rn/download/downloadPopup.jsp?from=plwindow&amp;uu=/upload/window/REPORT/LGH-TW12-011.pdf","1등급"),IF(X131&lt;=1.2,HYPERLINK("http://www.lxhausys.co.kr/popup/rn/download/downloadPopup.jsp?from=plwindow&amp;uu=/upload/window/REPORT/LGH-TW12-011.pdf","2등급"),IF(X131&lt;=1.8,HYPERLINK("http://www.lxhausys.co.kr/popup/rn/download/downloadPopup.jsp?from=plwindow&amp;uu=/upload/window/REPORT/LGH-TW12-011.pdf","3등급"),IF(X131&lt;=2.3,HYPERLINK("http://www.lxhausys.co.kr/popup/rn/download/downloadPopup.jsp?from=plwindow&amp;uu=/upload/window/REPORT/LGH-TW12-011.pdf","4등급"),IF(X131&lt;=2.8,HYPERLINK("http://www.lxhausys.co.kr/popup/rn/download/downloadPopup.jsp?from=plwindow&amp;uu=/upload/window/REPORT/LGH-TW12-011.pdf","5등급"),HYPERLINK("http://www.lxhausys.co.kr/popup/rn/download/downloadPopup.jsp?from=plwindow&amp;uu=/upload/window/REPORT/LGH-TW12-011.pdf","등급외"))))))</f>
        <v>3등급</v>
      </c>
      <c r="L131" s="5">
        <v>1.28</v>
      </c>
      <c r="M131" s="5" t="s">
        <v>22</v>
      </c>
      <c r="N131" s="5" t="s">
        <v>607</v>
      </c>
      <c r="O131" s="5" t="s">
        <v>19</v>
      </c>
      <c r="P131" s="5" t="s">
        <v>19</v>
      </c>
      <c r="Q131" s="5" t="s">
        <v>19</v>
      </c>
      <c r="R131" s="5" t="s">
        <v>19</v>
      </c>
      <c r="S131" s="5" t="s">
        <v>19</v>
      </c>
      <c r="T131" s="5" t="s">
        <v>19</v>
      </c>
      <c r="U131" s="5" t="s">
        <v>19</v>
      </c>
      <c r="V131" s="5" t="s">
        <v>19</v>
      </c>
      <c r="W131" s="5" t="s">
        <v>19</v>
      </c>
      <c r="X131" s="19">
        <f t="shared" si="0"/>
        <v>1.28</v>
      </c>
    </row>
    <row r="132" spans="1:24">
      <c r="A132" t="s">
        <v>19</v>
      </c>
      <c r="B132" t="s">
        <v>49</v>
      </c>
      <c r="C132" t="s">
        <v>20</v>
      </c>
      <c r="D132" t="s">
        <v>41</v>
      </c>
      <c r="E132" t="s">
        <v>19</v>
      </c>
      <c r="F132" t="s">
        <v>19</v>
      </c>
      <c r="G132" t="s">
        <v>19</v>
      </c>
      <c r="H132" t="s">
        <v>19</v>
      </c>
      <c r="I132" t="s">
        <v>19</v>
      </c>
      <c r="J132" t="s">
        <v>19</v>
      </c>
      <c r="K132" s="21" t="str">
        <f>IF(X132&lt;=0.9,HYPERLINK("http://www.lxhausys.co.kr/popup/rn/download/downloadPopup.jsp?from=plwindow&amp;uu=/upload/window/REPORT/LGH-TW12-016.pdf","1등급"),IF(X132&lt;=1.2,HYPERLINK("http://www.lxhausys.co.kr/popup/rn/download/downloadPopup.jsp?from=plwindow&amp;uu=/upload/window/REPORT/LGH-TW12-016.pdf","2등급"),IF(X132&lt;=1.8,HYPERLINK("http://www.lxhausys.co.kr/popup/rn/download/downloadPopup.jsp?from=plwindow&amp;uu=/upload/window/REPORT/LGH-TW12-016.pdf","3등급"),IF(X132&lt;=2.3,HYPERLINK("http://www.lxhausys.co.kr/popup/rn/download/downloadPopup.jsp?from=plwindow&amp;uu=/upload/window/REPORT/LGH-TW12-016.pdf","4등급"),IF(X132&lt;=2.8,HYPERLINK("http://www.lxhausys.co.kr/popup/rn/download/downloadPopup.jsp?from=plwindow&amp;uu=/upload/window/REPORT/LGH-TW12-016.pdf","5등급"),HYPERLINK("http://www.lxhausys.co.kr/popup/rn/download/downloadPopup.jsp?from=plwindow&amp;uu=/upload/window/REPORT/LGH-TW12-016.pdf","등급외"))))))</f>
        <v>등급외</v>
      </c>
      <c r="L132" s="5">
        <v>3.3109999999999999</v>
      </c>
      <c r="M132" s="5" t="s">
        <v>103</v>
      </c>
      <c r="N132" s="5" t="s">
        <v>607</v>
      </c>
      <c r="O132" s="5" t="s">
        <v>19</v>
      </c>
      <c r="P132" s="5" t="s">
        <v>19</v>
      </c>
      <c r="Q132" s="5" t="s">
        <v>19</v>
      </c>
      <c r="R132" s="5" t="s">
        <v>19</v>
      </c>
      <c r="S132" s="5" t="s">
        <v>19</v>
      </c>
      <c r="T132" s="5" t="s">
        <v>19</v>
      </c>
      <c r="U132" s="5" t="s">
        <v>19</v>
      </c>
      <c r="V132" s="5" t="s">
        <v>19</v>
      </c>
      <c r="W132" s="5" t="s">
        <v>19</v>
      </c>
      <c r="X132" s="19">
        <f t="shared" si="0"/>
        <v>3.3109999999999999</v>
      </c>
    </row>
    <row r="133" spans="1:24">
      <c r="A133" t="s">
        <v>44</v>
      </c>
      <c r="B133" t="s">
        <v>19</v>
      </c>
      <c r="C133" t="s">
        <v>20</v>
      </c>
      <c r="D133" t="s">
        <v>56</v>
      </c>
      <c r="E133" t="s">
        <v>19</v>
      </c>
      <c r="F133" t="s">
        <v>19</v>
      </c>
      <c r="G133" t="s">
        <v>19</v>
      </c>
      <c r="H133" t="s">
        <v>19</v>
      </c>
      <c r="I133" t="s">
        <v>19</v>
      </c>
      <c r="J133" t="s">
        <v>19</v>
      </c>
      <c r="K133" s="21" t="str">
        <f>IF(X133&lt;=0.9,HYPERLINK("http://www.lxhausys.co.kr/popup/rn/download/downloadPopup.jsp?from=plwindow&amp;uu=/upload/window/REPORT/LGH-TW12-039.pdf","1등급"),IF(X133&lt;=1.2,HYPERLINK("http://www.lxhausys.co.kr/popup/rn/download/downloadPopup.jsp?from=plwindow&amp;uu=/upload/window/REPORT/LGH-TW12-039.pdf","2등급"),IF(X133&lt;=1.8,HYPERLINK("http://www.lxhausys.co.kr/popup/rn/download/downloadPopup.jsp?from=plwindow&amp;uu=/upload/window/REPORT/LGH-TW12-039.pdf","3등급"),IF(X133&lt;=2.3,HYPERLINK("http://www.lxhausys.co.kr/popup/rn/download/downloadPopup.jsp?from=plwindow&amp;uu=/upload/window/REPORT/LGH-TW12-039.pdf","4등급"),IF(X133&lt;=2.8,HYPERLINK("http://www.lxhausys.co.kr/popup/rn/download/downloadPopup.jsp?from=plwindow&amp;uu=/upload/window/REPORT/LGH-TW12-039.pdf","5등급"),HYPERLINK("http://www.lxhausys.co.kr/popup/rn/download/downloadPopup.jsp?from=plwindow&amp;uu=/upload/window/REPORT/LGH-TW12-039.pdf","등급외"))))))</f>
        <v>3등급</v>
      </c>
      <c r="L133" s="5">
        <v>1.5649999999999999</v>
      </c>
      <c r="M133" s="5" t="s">
        <v>22</v>
      </c>
      <c r="N133" s="5" t="s">
        <v>607</v>
      </c>
      <c r="O133" s="5" t="s">
        <v>19</v>
      </c>
      <c r="P133" s="5" t="s">
        <v>19</v>
      </c>
      <c r="Q133" s="5" t="s">
        <v>19</v>
      </c>
      <c r="R133" s="5" t="s">
        <v>19</v>
      </c>
      <c r="S133" s="5" t="s">
        <v>19</v>
      </c>
      <c r="T133" s="5" t="s">
        <v>19</v>
      </c>
      <c r="U133" s="5" t="s">
        <v>19</v>
      </c>
      <c r="V133" s="5" t="s">
        <v>19</v>
      </c>
      <c r="W133" s="5" t="s">
        <v>19</v>
      </c>
      <c r="X133" s="19">
        <f t="shared" si="0"/>
        <v>1.5649999999999999</v>
      </c>
    </row>
    <row r="134" spans="1:24">
      <c r="A134" t="s">
        <v>44</v>
      </c>
      <c r="B134" t="s">
        <v>19</v>
      </c>
      <c r="C134" t="s">
        <v>20</v>
      </c>
      <c r="D134" t="s">
        <v>28</v>
      </c>
      <c r="E134" t="s">
        <v>19</v>
      </c>
      <c r="F134" t="s">
        <v>19</v>
      </c>
      <c r="G134" t="s">
        <v>19</v>
      </c>
      <c r="H134" t="s">
        <v>19</v>
      </c>
      <c r="I134" t="s">
        <v>19</v>
      </c>
      <c r="J134" t="s">
        <v>19</v>
      </c>
      <c r="K134" s="21" t="str">
        <f>IF(X134&lt;=0.9,HYPERLINK("http://www.lxhausys.co.kr/popup/rn/download/downloadPopup.jsp?from=plwindow&amp;uu=/upload/window/REPORT/LGH-TW12-040.pdf","1등급"),IF(X134&lt;=1.2,HYPERLINK("http://www.lxhausys.co.kr/popup/rn/download/downloadPopup.jsp?from=plwindow&amp;uu=/upload/window/REPORT/LGH-TW12-040.pdf","2등급"),IF(X134&lt;=1.8,HYPERLINK("http://www.lxhausys.co.kr/popup/rn/download/downloadPopup.jsp?from=plwindow&amp;uu=/upload/window/REPORT/LGH-TW12-040.pdf","3등급"),IF(X134&lt;=2.3,HYPERLINK("http://www.lxhausys.co.kr/popup/rn/download/downloadPopup.jsp?from=plwindow&amp;uu=/upload/window/REPORT/LGH-TW12-040.pdf","4등급"),IF(X134&lt;=2.8,HYPERLINK("http://www.lxhausys.co.kr/popup/rn/download/downloadPopup.jsp?from=plwindow&amp;uu=/upload/window/REPORT/LGH-TW12-040.pdf","5등급"),HYPERLINK("http://www.lxhausys.co.kr/popup/rn/download/downloadPopup.jsp?from=plwindow&amp;uu=/upload/window/REPORT/LGH-TW12-040.pdf","등급외"))))))</f>
        <v>3등급</v>
      </c>
      <c r="L134" s="5">
        <v>1.718</v>
      </c>
      <c r="M134" s="5" t="s">
        <v>22</v>
      </c>
      <c r="N134" s="5" t="s">
        <v>607</v>
      </c>
      <c r="O134" s="5" t="s">
        <v>19</v>
      </c>
      <c r="P134" s="5" t="s">
        <v>19</v>
      </c>
      <c r="Q134" s="5" t="s">
        <v>19</v>
      </c>
      <c r="R134" s="5" t="s">
        <v>19</v>
      </c>
      <c r="S134" s="5" t="s">
        <v>19</v>
      </c>
      <c r="T134" s="5" t="s">
        <v>19</v>
      </c>
      <c r="U134" s="5" t="s">
        <v>19</v>
      </c>
      <c r="V134" s="5" t="s">
        <v>19</v>
      </c>
      <c r="W134" s="5" t="s">
        <v>19</v>
      </c>
      <c r="X134" s="19">
        <f t="shared" si="0"/>
        <v>1.718</v>
      </c>
    </row>
    <row r="135" spans="1:24">
      <c r="A135" t="s">
        <v>30</v>
      </c>
      <c r="B135" t="s">
        <v>19</v>
      </c>
      <c r="C135" t="s">
        <v>20</v>
      </c>
      <c r="D135" t="s">
        <v>104</v>
      </c>
      <c r="E135" t="s">
        <v>19</v>
      </c>
      <c r="F135" t="s">
        <v>19</v>
      </c>
      <c r="G135" t="s">
        <v>19</v>
      </c>
      <c r="H135" t="s">
        <v>104</v>
      </c>
      <c r="I135" t="s">
        <v>19</v>
      </c>
      <c r="J135" t="s">
        <v>19</v>
      </c>
      <c r="K135" s="21" t="str">
        <f>IF(X135&lt;=0.9,HYPERLINK("http://www.lxhausys.co.kr/popup/rn/download/downloadPopup.jsp?from=plwindow&amp;uu=/upload/window/REPORT/LGH-TW12-043.pdf","1등급"),IF(X135&lt;=1.2,HYPERLINK("http://www.lxhausys.co.kr/popup/rn/download/downloadPopup.jsp?from=plwindow&amp;uu=/upload/window/REPORT/LGH-TW12-043.pdf","2등급"),IF(X135&lt;=1.8,HYPERLINK("http://www.lxhausys.co.kr/popup/rn/download/downloadPopup.jsp?from=plwindow&amp;uu=/upload/window/REPORT/LGH-TW12-043.pdf","3등급"),IF(X135&lt;=2.3,HYPERLINK("http://www.lxhausys.co.kr/popup/rn/download/downloadPopup.jsp?from=plwindow&amp;uu=/upload/window/REPORT/LGH-TW12-043.pdf","4등급"),IF(X135&lt;=2.8,HYPERLINK("http://www.lxhausys.co.kr/popup/rn/download/downloadPopup.jsp?from=plwindow&amp;uu=/upload/window/REPORT/LGH-TW12-043.pdf","5등급"),HYPERLINK("http://www.lxhausys.co.kr/popup/rn/download/downloadPopup.jsp?from=plwindow&amp;uu=/upload/window/REPORT/LGH-TW12-043.pdf","등급외"))))))</f>
        <v>3등급</v>
      </c>
      <c r="L135" s="5">
        <v>1.28</v>
      </c>
      <c r="M135" s="5" t="s">
        <v>22</v>
      </c>
      <c r="N135" s="5" t="s">
        <v>607</v>
      </c>
      <c r="O135" s="5" t="s">
        <v>19</v>
      </c>
      <c r="P135" s="5" t="s">
        <v>19</v>
      </c>
      <c r="Q135" s="5" t="s">
        <v>19</v>
      </c>
      <c r="R135" s="5" t="s">
        <v>19</v>
      </c>
      <c r="S135" s="5" t="s">
        <v>19</v>
      </c>
      <c r="T135" s="5" t="s">
        <v>19</v>
      </c>
      <c r="U135" s="5" t="s">
        <v>19</v>
      </c>
      <c r="V135" s="5" t="s">
        <v>19</v>
      </c>
      <c r="W135" s="5" t="s">
        <v>19</v>
      </c>
      <c r="X135" s="19">
        <f t="shared" si="0"/>
        <v>1.28</v>
      </c>
    </row>
    <row r="136" spans="1:24">
      <c r="A136" t="s">
        <v>42</v>
      </c>
      <c r="B136" t="s">
        <v>43</v>
      </c>
      <c r="C136" t="s">
        <v>20</v>
      </c>
      <c r="D136" t="s">
        <v>76</v>
      </c>
      <c r="E136" t="s">
        <v>19</v>
      </c>
      <c r="F136" t="s">
        <v>19</v>
      </c>
      <c r="G136" t="s">
        <v>19</v>
      </c>
      <c r="H136" t="s">
        <v>19</v>
      </c>
      <c r="I136" t="s">
        <v>19</v>
      </c>
      <c r="J136" t="s">
        <v>19</v>
      </c>
      <c r="K136" s="21" t="str">
        <f>IF(X136&lt;=0.9,HYPERLINK("http://www.lxhausys.co.kr/popup/rn/download/downloadPopup.jsp?from=plwindow&amp;uu=/upload/window/REPORT/LGH-TW12-057.pdf","1등급"),IF(X136&lt;=1.2,HYPERLINK("http://www.lxhausys.co.kr/popup/rn/download/downloadPopup.jsp?from=plwindow&amp;uu=/upload/window/REPORT/LGH-TW12-057.pdf","2등급"),IF(X136&lt;=1.8,HYPERLINK("http://www.lxhausys.co.kr/popup/rn/download/downloadPopup.jsp?from=plwindow&amp;uu=/upload/window/REPORT/LGH-TW12-057.pdf","3등급"),IF(X136&lt;=2.3,HYPERLINK("http://www.lxhausys.co.kr/popup/rn/download/downloadPopup.jsp?from=plwindow&amp;uu=/upload/window/REPORT/LGH-TW12-057.pdf","4등급"),IF(X136&lt;=2.8,HYPERLINK("http://www.lxhausys.co.kr/popup/rn/download/downloadPopup.jsp?from=plwindow&amp;uu=/upload/window/REPORT/LGH-TW12-057.pdf","5등급"),HYPERLINK("http://www.lxhausys.co.kr/popup/rn/download/downloadPopup.jsp?from=plwindow&amp;uu=/upload/window/REPORT/LGH-TW12-057.pdf","등급외"))))))</f>
        <v>3등급</v>
      </c>
      <c r="L136" s="5">
        <v>1.639</v>
      </c>
      <c r="M136" s="5" t="s">
        <v>22</v>
      </c>
      <c r="N136" s="5" t="s">
        <v>607</v>
      </c>
      <c r="O136" s="5" t="s">
        <v>19</v>
      </c>
      <c r="P136" s="5" t="s">
        <v>19</v>
      </c>
      <c r="Q136" s="5" t="s">
        <v>19</v>
      </c>
      <c r="R136" s="5" t="s">
        <v>19</v>
      </c>
      <c r="S136" s="5" t="s">
        <v>19</v>
      </c>
      <c r="T136" s="5" t="s">
        <v>19</v>
      </c>
      <c r="U136" s="5" t="s">
        <v>19</v>
      </c>
      <c r="V136" s="5" t="s">
        <v>19</v>
      </c>
      <c r="W136" s="5" t="s">
        <v>19</v>
      </c>
      <c r="X136" s="19">
        <f t="shared" si="0"/>
        <v>1.639</v>
      </c>
    </row>
    <row r="137" spans="1:24">
      <c r="A137" t="s">
        <v>44</v>
      </c>
      <c r="B137" t="s">
        <v>19</v>
      </c>
      <c r="C137" t="s">
        <v>20</v>
      </c>
      <c r="D137" t="s">
        <v>25</v>
      </c>
      <c r="E137" t="s">
        <v>19</v>
      </c>
      <c r="F137" t="s">
        <v>19</v>
      </c>
      <c r="G137" t="s">
        <v>19</v>
      </c>
      <c r="H137" t="s">
        <v>19</v>
      </c>
      <c r="I137" t="s">
        <v>19</v>
      </c>
      <c r="J137" t="s">
        <v>19</v>
      </c>
      <c r="K137" s="21" t="str">
        <f>IF(X137&lt;=0.9,HYPERLINK("http://www.lxhausys.co.kr/popup/rn/download/downloadPopup.jsp?from=plwindow&amp;uu=/upload/window/REPORT/LGH-TW12-059.pdf","1등급"),IF(X137&lt;=1.2,HYPERLINK("http://www.lxhausys.co.kr/popup/rn/download/downloadPopup.jsp?from=plwindow&amp;uu=/upload/window/REPORT/LGH-TW12-059.pdf","2등급"),IF(X137&lt;=1.8,HYPERLINK("http://www.lxhausys.co.kr/popup/rn/download/downloadPopup.jsp?from=plwindow&amp;uu=/upload/window/REPORT/LGH-TW12-059.pdf","3등급"),IF(X137&lt;=2.3,HYPERLINK("http://www.lxhausys.co.kr/popup/rn/download/downloadPopup.jsp?from=plwindow&amp;uu=/upload/window/REPORT/LGH-TW12-059.pdf","4등급"),IF(X137&lt;=2.8,HYPERLINK("http://www.lxhausys.co.kr/popup/rn/download/downloadPopup.jsp?from=plwindow&amp;uu=/upload/window/REPORT/LGH-TW12-059.pdf","5등급"),HYPERLINK("http://www.lxhausys.co.kr/popup/rn/download/downloadPopup.jsp?from=plwindow&amp;uu=/upload/window/REPORT/LGH-TW12-059.pdf","등급외"))))))</f>
        <v>5등급</v>
      </c>
      <c r="L137" s="5">
        <v>2.5910000000000002</v>
      </c>
      <c r="M137" s="5" t="s">
        <v>22</v>
      </c>
      <c r="N137" s="5" t="s">
        <v>607</v>
      </c>
      <c r="O137" s="5" t="s">
        <v>19</v>
      </c>
      <c r="P137" s="5" t="s">
        <v>19</v>
      </c>
      <c r="Q137" s="5" t="s">
        <v>19</v>
      </c>
      <c r="R137" s="5" t="s">
        <v>19</v>
      </c>
      <c r="S137" s="5" t="s">
        <v>19</v>
      </c>
      <c r="T137" s="5" t="s">
        <v>19</v>
      </c>
      <c r="U137" s="5" t="s">
        <v>19</v>
      </c>
      <c r="V137" s="5" t="s">
        <v>19</v>
      </c>
      <c r="W137" s="5" t="s">
        <v>19</v>
      </c>
      <c r="X137" s="19">
        <f t="shared" si="0"/>
        <v>2.5910000000000002</v>
      </c>
    </row>
    <row r="138" spans="1:24">
      <c r="A138" t="s">
        <v>50</v>
      </c>
      <c r="B138" t="s">
        <v>19</v>
      </c>
      <c r="C138" t="s">
        <v>20</v>
      </c>
      <c r="D138" t="s">
        <v>105</v>
      </c>
      <c r="E138" t="s">
        <v>19</v>
      </c>
      <c r="F138" t="s">
        <v>19</v>
      </c>
      <c r="G138" t="s">
        <v>19</v>
      </c>
      <c r="H138" t="s">
        <v>19</v>
      </c>
      <c r="I138" t="s">
        <v>19</v>
      </c>
      <c r="J138" t="s">
        <v>19</v>
      </c>
      <c r="K138" s="21" t="str">
        <f>IF(X138&lt;=0.9,HYPERLINK("http://www.lxhausys.co.kr/popup/rn/download/downloadPopup.jsp?from=plwindow&amp;uu=/upload/window/REPORT/LGH-TW12-080.pdf","1등급"),IF(X138&lt;=1.2,HYPERLINK("http://www.lxhausys.co.kr/popup/rn/download/downloadPopup.jsp?from=plwindow&amp;uu=/upload/window/REPORT/LGH-TW12-080.pdf","2등급"),IF(X138&lt;=1.8,HYPERLINK("http://www.lxhausys.co.kr/popup/rn/download/downloadPopup.jsp?from=plwindow&amp;uu=/upload/window/REPORT/LGH-TW12-080.pdf","3등급"),IF(X138&lt;=2.3,HYPERLINK("http://www.lxhausys.co.kr/popup/rn/download/downloadPopup.jsp?from=plwindow&amp;uu=/upload/window/REPORT/LGH-TW12-080.pdf","4등급"),IF(X138&lt;=2.8,HYPERLINK("http://www.lxhausys.co.kr/popup/rn/download/downloadPopup.jsp?from=plwindow&amp;uu=/upload/window/REPORT/LGH-TW12-080.pdf","5등급"),HYPERLINK("http://www.lxhausys.co.kr/popup/rn/download/downloadPopup.jsp?from=plwindow&amp;uu=/upload/window/REPORT/LGH-TW12-080.pdf","등급외"))))))</f>
        <v>3등급</v>
      </c>
      <c r="L138" s="5">
        <v>1.6639999999999999</v>
      </c>
      <c r="M138" s="5" t="s">
        <v>22</v>
      </c>
      <c r="N138" s="5" t="s">
        <v>607</v>
      </c>
      <c r="O138" s="5" t="s">
        <v>19</v>
      </c>
      <c r="P138" s="5" t="s">
        <v>19</v>
      </c>
      <c r="Q138" s="5" t="s">
        <v>19</v>
      </c>
      <c r="R138" s="5" t="s">
        <v>19</v>
      </c>
      <c r="S138" s="5" t="s">
        <v>19</v>
      </c>
      <c r="T138" s="5" t="s">
        <v>19</v>
      </c>
      <c r="U138" s="5" t="s">
        <v>19</v>
      </c>
      <c r="V138" s="5" t="s">
        <v>19</v>
      </c>
      <c r="W138" s="5" t="s">
        <v>19</v>
      </c>
      <c r="X138" s="19">
        <f t="shared" si="0"/>
        <v>1.6639999999999999</v>
      </c>
    </row>
    <row r="139" spans="1:24">
      <c r="A139" t="s">
        <v>50</v>
      </c>
      <c r="B139" t="s">
        <v>19</v>
      </c>
      <c r="C139" t="s">
        <v>20</v>
      </c>
      <c r="D139" t="s">
        <v>51</v>
      </c>
      <c r="E139" t="s">
        <v>19</v>
      </c>
      <c r="F139" t="s">
        <v>19</v>
      </c>
      <c r="G139" t="s">
        <v>19</v>
      </c>
      <c r="H139" t="s">
        <v>19</v>
      </c>
      <c r="I139" t="s">
        <v>19</v>
      </c>
      <c r="J139" t="s">
        <v>19</v>
      </c>
      <c r="K139" s="21" t="str">
        <f>IF(X139&lt;=0.9,HYPERLINK("http://www.lxhausys.co.kr/popup/rn/download/downloadPopup.jsp?from=plwindow&amp;uu=/upload/window/REPORT/LGH-TW12-081.pdf","1등급"),IF(X139&lt;=1.2,HYPERLINK("http://www.lxhausys.co.kr/popup/rn/download/downloadPopup.jsp?from=plwindow&amp;uu=/upload/window/REPORT/LGH-TW12-081.pdf","2등급"),IF(X139&lt;=1.8,HYPERLINK("http://www.lxhausys.co.kr/popup/rn/download/downloadPopup.jsp?from=plwindow&amp;uu=/upload/window/REPORT/LGH-TW12-081.pdf","3등급"),IF(X139&lt;=2.3,HYPERLINK("http://www.lxhausys.co.kr/popup/rn/download/downloadPopup.jsp?from=plwindow&amp;uu=/upload/window/REPORT/LGH-TW12-081.pdf","4등급"),IF(X139&lt;=2.8,HYPERLINK("http://www.lxhausys.co.kr/popup/rn/download/downloadPopup.jsp?from=plwindow&amp;uu=/upload/window/REPORT/LGH-TW12-081.pdf","5등급"),HYPERLINK("http://www.lxhausys.co.kr/popup/rn/download/downloadPopup.jsp?from=plwindow&amp;uu=/upload/window/REPORT/LGH-TW12-081.pdf","등급외"))))))</f>
        <v>3등급</v>
      </c>
      <c r="L139" s="5">
        <v>1.292</v>
      </c>
      <c r="M139" s="5" t="s">
        <v>22</v>
      </c>
      <c r="N139" s="5" t="s">
        <v>607</v>
      </c>
      <c r="O139" s="5" t="s">
        <v>19</v>
      </c>
      <c r="P139" s="5" t="s">
        <v>19</v>
      </c>
      <c r="Q139" s="5" t="s">
        <v>19</v>
      </c>
      <c r="R139" s="5" t="s">
        <v>19</v>
      </c>
      <c r="S139" s="5" t="s">
        <v>19</v>
      </c>
      <c r="T139" s="5" t="s">
        <v>19</v>
      </c>
      <c r="U139" s="5" t="s">
        <v>19</v>
      </c>
      <c r="V139" s="5" t="s">
        <v>19</v>
      </c>
      <c r="W139" s="5" t="s">
        <v>19</v>
      </c>
      <c r="X139" s="19">
        <f t="shared" si="0"/>
        <v>1.292</v>
      </c>
    </row>
    <row r="140" spans="1:24">
      <c r="A140" t="s">
        <v>30</v>
      </c>
      <c r="B140" t="s">
        <v>19</v>
      </c>
      <c r="C140" t="s">
        <v>20</v>
      </c>
      <c r="D140" t="s">
        <v>56</v>
      </c>
      <c r="E140" t="s">
        <v>19</v>
      </c>
      <c r="F140" t="s">
        <v>19</v>
      </c>
      <c r="G140" t="s">
        <v>19</v>
      </c>
      <c r="H140" t="s">
        <v>104</v>
      </c>
      <c r="I140" t="s">
        <v>19</v>
      </c>
      <c r="J140" t="s">
        <v>19</v>
      </c>
      <c r="K140" s="21" t="str">
        <f>IF(X140&lt;=0.9,HYPERLINK("http://www.lxhausys.co.kr/popup/rn/download/downloadPopup.jsp?from=plwindow&amp;uu=/upload/window/REPORT/LGH-TW12-083.pdf","1등급"),IF(X140&lt;=1.2,HYPERLINK("http://www.lxhausys.co.kr/popup/rn/download/downloadPopup.jsp?from=plwindow&amp;uu=/upload/window/REPORT/LGH-TW12-083.pdf","2등급"),IF(X140&lt;=1.8,HYPERLINK("http://www.lxhausys.co.kr/popup/rn/download/downloadPopup.jsp?from=plwindow&amp;uu=/upload/window/REPORT/LGH-TW12-083.pdf","3등급"),IF(X140&lt;=2.3,HYPERLINK("http://www.lxhausys.co.kr/popup/rn/download/downloadPopup.jsp?from=plwindow&amp;uu=/upload/window/REPORT/LGH-TW12-083.pdf","4등급"),IF(X140&lt;=2.8,HYPERLINK("http://www.lxhausys.co.kr/popup/rn/download/downloadPopup.jsp?from=plwindow&amp;uu=/upload/window/REPORT/LGH-TW12-083.pdf","5등급"),HYPERLINK("http://www.lxhausys.co.kr/popup/rn/download/downloadPopup.jsp?from=plwindow&amp;uu=/upload/window/REPORT/LGH-TW12-083.pdf","등급외"))))))</f>
        <v>2등급</v>
      </c>
      <c r="L140" s="5">
        <v>0.95299999999999996</v>
      </c>
      <c r="M140" s="5" t="s">
        <v>22</v>
      </c>
      <c r="N140" s="5" t="s">
        <v>607</v>
      </c>
      <c r="O140" s="5" t="s">
        <v>19</v>
      </c>
      <c r="P140" s="5" t="s">
        <v>19</v>
      </c>
      <c r="Q140" s="5" t="s">
        <v>19</v>
      </c>
      <c r="R140" s="5" t="s">
        <v>19</v>
      </c>
      <c r="S140" s="5" t="s">
        <v>19</v>
      </c>
      <c r="T140" s="5" t="s">
        <v>19</v>
      </c>
      <c r="U140" s="5" t="s">
        <v>19</v>
      </c>
      <c r="V140" s="5" t="s">
        <v>19</v>
      </c>
      <c r="W140" s="5" t="s">
        <v>19</v>
      </c>
      <c r="X140" s="19">
        <f t="shared" si="0"/>
        <v>0.95299999999999996</v>
      </c>
    </row>
    <row r="141" spans="1:24">
      <c r="A141" t="s">
        <v>39</v>
      </c>
      <c r="B141" t="s">
        <v>19</v>
      </c>
      <c r="C141" t="s">
        <v>20</v>
      </c>
      <c r="D141" t="s">
        <v>105</v>
      </c>
      <c r="E141" t="s">
        <v>106</v>
      </c>
      <c r="F141" t="s">
        <v>19</v>
      </c>
      <c r="G141" t="s">
        <v>19</v>
      </c>
      <c r="H141" t="s">
        <v>19</v>
      </c>
      <c r="I141" t="s">
        <v>19</v>
      </c>
      <c r="J141" t="s">
        <v>19</v>
      </c>
      <c r="K141" s="21" t="str">
        <f>IF(X141&lt;=0.9,HYPERLINK("http://www.lxhausys.co.kr/popup/rn/download/downloadPopup.jsp?from=plwindow&amp;uu=/upload/window/REPORT/LGH-TW12-087.pdf","1등급"),IF(X141&lt;=1.2,HYPERLINK("http://www.lxhausys.co.kr/popup/rn/download/downloadPopup.jsp?from=plwindow&amp;uu=/upload/window/REPORT/LGH-TW12-087.pdf","2등급"),IF(X141&lt;=1.8,HYPERLINK("http://www.lxhausys.co.kr/popup/rn/download/downloadPopup.jsp?from=plwindow&amp;uu=/upload/window/REPORT/LGH-TW12-087.pdf","3등급"),IF(X141&lt;=2.3,HYPERLINK("http://www.lxhausys.co.kr/popup/rn/download/downloadPopup.jsp?from=plwindow&amp;uu=/upload/window/REPORT/LGH-TW12-087.pdf","4등급"),IF(X141&lt;=2.8,HYPERLINK("http://www.lxhausys.co.kr/popup/rn/download/downloadPopup.jsp?from=plwindow&amp;uu=/upload/window/REPORT/LGH-TW12-087.pdf","5등급"),HYPERLINK("http://www.lxhausys.co.kr/popup/rn/download/downloadPopup.jsp?from=plwindow&amp;uu=/upload/window/REPORT/LGH-TW12-087.pdf","등급외"))))))</f>
        <v>3등급</v>
      </c>
      <c r="L141" s="5">
        <v>1.754</v>
      </c>
      <c r="M141" s="5" t="s">
        <v>22</v>
      </c>
      <c r="N141" s="5" t="s">
        <v>607</v>
      </c>
      <c r="O141" s="5" t="s">
        <v>19</v>
      </c>
      <c r="P141" s="5" t="s">
        <v>19</v>
      </c>
      <c r="Q141" s="5" t="s">
        <v>19</v>
      </c>
      <c r="R141" s="5" t="s">
        <v>19</v>
      </c>
      <c r="S141" s="5" t="s">
        <v>19</v>
      </c>
      <c r="T141" s="5" t="s">
        <v>19</v>
      </c>
      <c r="U141" s="5" t="s">
        <v>19</v>
      </c>
      <c r="V141" s="5" t="s">
        <v>19</v>
      </c>
      <c r="W141" s="5" t="s">
        <v>19</v>
      </c>
      <c r="X141" s="19">
        <f t="shared" si="0"/>
        <v>1.754</v>
      </c>
    </row>
    <row r="142" spans="1:24">
      <c r="A142" t="s">
        <v>39</v>
      </c>
      <c r="B142" t="s">
        <v>19</v>
      </c>
      <c r="C142" t="s">
        <v>20</v>
      </c>
      <c r="D142" t="s">
        <v>21</v>
      </c>
      <c r="E142" t="s">
        <v>106</v>
      </c>
      <c r="F142" t="s">
        <v>19</v>
      </c>
      <c r="G142" t="s">
        <v>19</v>
      </c>
      <c r="H142" t="s">
        <v>19</v>
      </c>
      <c r="I142" t="s">
        <v>19</v>
      </c>
      <c r="J142" t="s">
        <v>19</v>
      </c>
      <c r="K142" s="21" t="str">
        <f>IF(X142&lt;=0.9,HYPERLINK("http://www.lxhausys.co.kr/popup/rn/download/downloadPopup.jsp?from=plwindow&amp;uu=/upload/window/REPORT/LGH-TW12-088.pdf","1등급"),IF(X142&lt;=1.2,HYPERLINK("http://www.lxhausys.co.kr/popup/rn/download/downloadPopup.jsp?from=plwindow&amp;uu=/upload/window/REPORT/LGH-TW12-088.pdf","2등급"),IF(X142&lt;=1.8,HYPERLINK("http://www.lxhausys.co.kr/popup/rn/download/downloadPopup.jsp?from=plwindow&amp;uu=/upload/window/REPORT/LGH-TW12-088.pdf","3등급"),IF(X142&lt;=2.3,HYPERLINK("http://www.lxhausys.co.kr/popup/rn/download/downloadPopup.jsp?from=plwindow&amp;uu=/upload/window/REPORT/LGH-TW12-088.pdf","4등급"),IF(X142&lt;=2.8,HYPERLINK("http://www.lxhausys.co.kr/popup/rn/download/downloadPopup.jsp?from=plwindow&amp;uu=/upload/window/REPORT/LGH-TW12-088.pdf","5등급"),HYPERLINK("http://www.lxhausys.co.kr/popup/rn/download/downloadPopup.jsp?from=plwindow&amp;uu=/upload/window/REPORT/LGH-TW12-088.pdf","등급외"))))))</f>
        <v>4등급</v>
      </c>
      <c r="L142" s="5">
        <v>1.8320000000000001</v>
      </c>
      <c r="M142" s="5" t="s">
        <v>22</v>
      </c>
      <c r="N142" s="5" t="s">
        <v>607</v>
      </c>
      <c r="O142" s="5" t="s">
        <v>19</v>
      </c>
      <c r="P142" s="5" t="s">
        <v>19</v>
      </c>
      <c r="Q142" s="5" t="s">
        <v>19</v>
      </c>
      <c r="R142" s="5" t="s">
        <v>19</v>
      </c>
      <c r="S142" s="5" t="s">
        <v>19</v>
      </c>
      <c r="T142" s="5" t="s">
        <v>19</v>
      </c>
      <c r="U142" s="5" t="s">
        <v>19</v>
      </c>
      <c r="V142" s="5" t="s">
        <v>19</v>
      </c>
      <c r="W142" s="5" t="s">
        <v>19</v>
      </c>
      <c r="X142" s="19">
        <f t="shared" si="0"/>
        <v>1.8320000000000001</v>
      </c>
    </row>
    <row r="143" spans="1:24">
      <c r="A143" t="s">
        <v>39</v>
      </c>
      <c r="B143" t="s">
        <v>19</v>
      </c>
      <c r="C143" t="s">
        <v>20</v>
      </c>
      <c r="D143" t="s">
        <v>25</v>
      </c>
      <c r="E143" t="s">
        <v>106</v>
      </c>
      <c r="F143" t="s">
        <v>19</v>
      </c>
      <c r="G143" t="s">
        <v>19</v>
      </c>
      <c r="H143" t="s">
        <v>19</v>
      </c>
      <c r="I143" t="s">
        <v>19</v>
      </c>
      <c r="J143" t="s">
        <v>19</v>
      </c>
      <c r="K143" s="21" t="str">
        <f>IF(X143&lt;=0.9,HYPERLINK("http://www.lxhausys.co.kr/popup/rn/download/downloadPopup.jsp?from=plwindow&amp;uu=/upload/window/REPORT/LGH-TW12-089.pdf","1등급"),IF(X143&lt;=1.2,HYPERLINK("http://www.lxhausys.co.kr/popup/rn/download/downloadPopup.jsp?from=plwindow&amp;uu=/upload/window/REPORT/LGH-TW12-089.pdf","2등급"),IF(X143&lt;=1.8,HYPERLINK("http://www.lxhausys.co.kr/popup/rn/download/downloadPopup.jsp?from=plwindow&amp;uu=/upload/window/REPORT/LGH-TW12-089.pdf","3등급"),IF(X143&lt;=2.3,HYPERLINK("http://www.lxhausys.co.kr/popup/rn/download/downloadPopup.jsp?from=plwindow&amp;uu=/upload/window/REPORT/LGH-TW12-089.pdf","4등급"),IF(X143&lt;=2.8,HYPERLINK("http://www.lxhausys.co.kr/popup/rn/download/downloadPopup.jsp?from=plwindow&amp;uu=/upload/window/REPORT/LGH-TW12-089.pdf","5등급"),HYPERLINK("http://www.lxhausys.co.kr/popup/rn/download/downloadPopup.jsp?from=plwindow&amp;uu=/upload/window/REPORT/LGH-TW12-089.pdf","등급외"))))))</f>
        <v>4등급</v>
      </c>
      <c r="L143" s="5">
        <v>2.2829999999999999</v>
      </c>
      <c r="M143" s="5" t="s">
        <v>22</v>
      </c>
      <c r="N143" s="5" t="s">
        <v>607</v>
      </c>
      <c r="O143" s="5" t="s">
        <v>19</v>
      </c>
      <c r="P143" s="5" t="s">
        <v>19</v>
      </c>
      <c r="Q143" s="5" t="s">
        <v>19</v>
      </c>
      <c r="R143" s="5" t="s">
        <v>19</v>
      </c>
      <c r="S143" s="5" t="s">
        <v>19</v>
      </c>
      <c r="T143" s="5" t="s">
        <v>19</v>
      </c>
      <c r="U143" s="5" t="s">
        <v>19</v>
      </c>
      <c r="V143" s="5" t="s">
        <v>19</v>
      </c>
      <c r="W143" s="5" t="s">
        <v>19</v>
      </c>
      <c r="X143" s="19">
        <f t="shared" si="0"/>
        <v>2.2829999999999999</v>
      </c>
    </row>
    <row r="144" spans="1:24">
      <c r="A144" t="s">
        <v>39</v>
      </c>
      <c r="B144" t="s">
        <v>19</v>
      </c>
      <c r="C144" t="s">
        <v>20</v>
      </c>
      <c r="D144" t="s">
        <v>56</v>
      </c>
      <c r="E144" t="s">
        <v>106</v>
      </c>
      <c r="F144" t="s">
        <v>19</v>
      </c>
      <c r="G144" t="s">
        <v>19</v>
      </c>
      <c r="H144" t="s">
        <v>19</v>
      </c>
      <c r="I144" t="s">
        <v>19</v>
      </c>
      <c r="J144" t="s">
        <v>19</v>
      </c>
      <c r="K144" s="21" t="str">
        <f>IF(X144&lt;=0.9,HYPERLINK("http://www.lxhausys.co.kr/popup/rn/download/downloadPopup.jsp?from=plwindow&amp;uu=/upload/window/REPORT/LGH-TW12-090.pdf","1등급"),IF(X144&lt;=1.2,HYPERLINK("http://www.lxhausys.co.kr/popup/rn/download/downloadPopup.jsp?from=plwindow&amp;uu=/upload/window/REPORT/LGH-TW12-090.pdf","2등급"),IF(X144&lt;=1.8,HYPERLINK("http://www.lxhausys.co.kr/popup/rn/download/downloadPopup.jsp?from=plwindow&amp;uu=/upload/window/REPORT/LGH-TW12-090.pdf","3등급"),IF(X144&lt;=2.3,HYPERLINK("http://www.lxhausys.co.kr/popup/rn/download/downloadPopup.jsp?from=plwindow&amp;uu=/upload/window/REPORT/LGH-TW12-090.pdf","4등급"),IF(X144&lt;=2.8,HYPERLINK("http://www.lxhausys.co.kr/popup/rn/download/downloadPopup.jsp?from=plwindow&amp;uu=/upload/window/REPORT/LGH-TW12-090.pdf","5등급"),HYPERLINK("http://www.lxhausys.co.kr/popup/rn/download/downloadPopup.jsp?from=plwindow&amp;uu=/upload/window/REPORT/LGH-TW12-090.pdf","등급외"))))))</f>
        <v>4등급</v>
      </c>
      <c r="L144" s="5">
        <v>1.8149999999999999</v>
      </c>
      <c r="M144" s="5" t="s">
        <v>22</v>
      </c>
      <c r="N144" s="5" t="s">
        <v>607</v>
      </c>
      <c r="O144" s="5" t="s">
        <v>19</v>
      </c>
      <c r="P144" s="5" t="s">
        <v>19</v>
      </c>
      <c r="Q144" s="5" t="s">
        <v>19</v>
      </c>
      <c r="R144" s="5" t="s">
        <v>19</v>
      </c>
      <c r="S144" s="5" t="s">
        <v>19</v>
      </c>
      <c r="T144" s="5" t="s">
        <v>19</v>
      </c>
      <c r="U144" s="5" t="s">
        <v>19</v>
      </c>
      <c r="V144" s="5" t="s">
        <v>19</v>
      </c>
      <c r="W144" s="5" t="s">
        <v>19</v>
      </c>
      <c r="X144" s="19">
        <f t="shared" si="0"/>
        <v>1.8149999999999999</v>
      </c>
    </row>
    <row r="145" spans="1:24">
      <c r="A145" t="s">
        <v>50</v>
      </c>
      <c r="B145" t="s">
        <v>19</v>
      </c>
      <c r="C145" t="s">
        <v>20</v>
      </c>
      <c r="D145" t="s">
        <v>32</v>
      </c>
      <c r="E145" t="s">
        <v>19</v>
      </c>
      <c r="F145" t="s">
        <v>19</v>
      </c>
      <c r="G145" t="s">
        <v>19</v>
      </c>
      <c r="H145" t="s">
        <v>19</v>
      </c>
      <c r="I145" t="s">
        <v>19</v>
      </c>
      <c r="J145" t="s">
        <v>19</v>
      </c>
      <c r="K145" s="21" t="str">
        <f>IF(X145&lt;=0.9,HYPERLINK("http://www.lxhausys.co.kr/popup/rn/download/downloadPopup.jsp?from=plwindow&amp;uu=/upload/window/REPORT/LGH-TW12-099.pdf","1등급"),IF(X145&lt;=1.2,HYPERLINK("http://www.lxhausys.co.kr/popup/rn/download/downloadPopup.jsp?from=plwindow&amp;uu=/upload/window/REPORT/LGH-TW12-099.pdf","2등급"),IF(X145&lt;=1.8,HYPERLINK("http://www.lxhausys.co.kr/popup/rn/download/downloadPopup.jsp?from=plwindow&amp;uu=/upload/window/REPORT/LGH-TW12-099.pdf","3등급"),IF(X145&lt;=2.3,HYPERLINK("http://www.lxhausys.co.kr/popup/rn/download/downloadPopup.jsp?from=plwindow&amp;uu=/upload/window/REPORT/LGH-TW12-099.pdf","4등급"),IF(X145&lt;=2.8,HYPERLINK("http://www.lxhausys.co.kr/popup/rn/download/downloadPopup.jsp?from=plwindow&amp;uu=/upload/window/REPORT/LGH-TW12-099.pdf","5등급"),HYPERLINK("http://www.lxhausys.co.kr/popup/rn/download/downloadPopup.jsp?from=plwindow&amp;uu=/upload/window/REPORT/LGH-TW12-099.pdf","등급외"))))))</f>
        <v>5등급</v>
      </c>
      <c r="L145" s="5">
        <v>2.625</v>
      </c>
      <c r="M145" s="5" t="s">
        <v>22</v>
      </c>
      <c r="N145" s="5" t="s">
        <v>607</v>
      </c>
      <c r="O145" s="5" t="s">
        <v>19</v>
      </c>
      <c r="P145" s="5" t="s">
        <v>19</v>
      </c>
      <c r="Q145" s="5" t="s">
        <v>19</v>
      </c>
      <c r="R145" s="5" t="s">
        <v>19</v>
      </c>
      <c r="S145" s="5" t="s">
        <v>19</v>
      </c>
      <c r="T145" s="5" t="s">
        <v>19</v>
      </c>
      <c r="U145" s="5" t="s">
        <v>19</v>
      </c>
      <c r="V145" s="5" t="s">
        <v>19</v>
      </c>
      <c r="W145" s="5" t="s">
        <v>19</v>
      </c>
      <c r="X145" s="19">
        <f t="shared" si="0"/>
        <v>2.625</v>
      </c>
    </row>
    <row r="146" spans="1:24">
      <c r="A146" t="s">
        <v>50</v>
      </c>
      <c r="B146" t="s">
        <v>19</v>
      </c>
      <c r="C146" t="s">
        <v>20</v>
      </c>
      <c r="D146" t="s">
        <v>56</v>
      </c>
      <c r="E146" t="s">
        <v>19</v>
      </c>
      <c r="F146" t="s">
        <v>19</v>
      </c>
      <c r="G146" t="s">
        <v>19</v>
      </c>
      <c r="H146" t="s">
        <v>19</v>
      </c>
      <c r="I146" t="s">
        <v>19</v>
      </c>
      <c r="J146" t="s">
        <v>19</v>
      </c>
      <c r="K146" s="21" t="str">
        <f>IF(X146&lt;=0.9,HYPERLINK("http://www.lxhausys.co.kr/popup/rn/download/downloadPopup.jsp?from=plwindow&amp;uu=/upload/window/REPORT/LGH-TW12-100.pdf","1등급"),IF(X146&lt;=1.2,HYPERLINK("http://www.lxhausys.co.kr/popup/rn/download/downloadPopup.jsp?from=plwindow&amp;uu=/upload/window/REPORT/LGH-TW12-100.pdf","2등급"),IF(X146&lt;=1.8,HYPERLINK("http://www.lxhausys.co.kr/popup/rn/download/downloadPopup.jsp?from=plwindow&amp;uu=/upload/window/REPORT/LGH-TW12-100.pdf","3등급"),IF(X146&lt;=2.3,HYPERLINK("http://www.lxhausys.co.kr/popup/rn/download/downloadPopup.jsp?from=plwindow&amp;uu=/upload/window/REPORT/LGH-TW12-100.pdf","4등급"),IF(X146&lt;=2.8,HYPERLINK("http://www.lxhausys.co.kr/popup/rn/download/downloadPopup.jsp?from=plwindow&amp;uu=/upload/window/REPORT/LGH-TW12-100.pdf","5등급"),HYPERLINK("http://www.lxhausys.co.kr/popup/rn/download/downloadPopup.jsp?from=plwindow&amp;uu=/upload/window/REPORT/LGH-TW12-100.pdf","등급외"))))))</f>
        <v>3등급</v>
      </c>
      <c r="L146" s="5">
        <v>1.7010000000000001</v>
      </c>
      <c r="M146" s="5" t="s">
        <v>22</v>
      </c>
      <c r="N146" s="5" t="s">
        <v>607</v>
      </c>
      <c r="O146" s="5" t="s">
        <v>19</v>
      </c>
      <c r="P146" s="5" t="s">
        <v>19</v>
      </c>
      <c r="Q146" s="5" t="s">
        <v>19</v>
      </c>
      <c r="R146" s="5" t="s">
        <v>19</v>
      </c>
      <c r="S146" s="5" t="s">
        <v>19</v>
      </c>
      <c r="T146" s="5" t="s">
        <v>19</v>
      </c>
      <c r="U146" s="5" t="s">
        <v>19</v>
      </c>
      <c r="V146" s="5" t="s">
        <v>19</v>
      </c>
      <c r="W146" s="5" t="s">
        <v>19</v>
      </c>
      <c r="X146" s="19">
        <f t="shared" si="0"/>
        <v>1.7010000000000001</v>
      </c>
    </row>
    <row r="147" spans="1:24">
      <c r="A147" t="s">
        <v>50</v>
      </c>
      <c r="B147" t="s">
        <v>19</v>
      </c>
      <c r="C147" t="s">
        <v>20</v>
      </c>
      <c r="D147" t="s">
        <v>107</v>
      </c>
      <c r="E147" t="s">
        <v>19</v>
      </c>
      <c r="F147" t="s">
        <v>19</v>
      </c>
      <c r="G147" t="s">
        <v>19</v>
      </c>
      <c r="H147" t="s">
        <v>19</v>
      </c>
      <c r="I147" t="s">
        <v>19</v>
      </c>
      <c r="J147" t="s">
        <v>19</v>
      </c>
      <c r="K147" s="21" t="str">
        <f>IF(X147&lt;=0.9,HYPERLINK("http://www.lxhausys.co.kr/popup/rn/download/downloadPopup.jsp?from=plwindow&amp;uu=/upload/window/REPORT/LGH-TW12-101.pdf","1등급"),IF(X147&lt;=1.2,HYPERLINK("http://www.lxhausys.co.kr/popup/rn/download/downloadPopup.jsp?from=plwindow&amp;uu=/upload/window/REPORT/LGH-TW12-101.pdf","2등급"),IF(X147&lt;=1.8,HYPERLINK("http://www.lxhausys.co.kr/popup/rn/download/downloadPopup.jsp?from=plwindow&amp;uu=/upload/window/REPORT/LGH-TW12-101.pdf","3등급"),IF(X147&lt;=2.3,HYPERLINK("http://www.lxhausys.co.kr/popup/rn/download/downloadPopup.jsp?from=plwindow&amp;uu=/upload/window/REPORT/LGH-TW12-101.pdf","4등급"),IF(X147&lt;=2.8,HYPERLINK("http://www.lxhausys.co.kr/popup/rn/download/downloadPopup.jsp?from=plwindow&amp;uu=/upload/window/REPORT/LGH-TW12-101.pdf","5등급"),HYPERLINK("http://www.lxhausys.co.kr/popup/rn/download/downloadPopup.jsp?from=plwindow&amp;uu=/upload/window/REPORT/LGH-TW12-101.pdf","등급외"))))))</f>
        <v>3등급</v>
      </c>
      <c r="L147" s="5">
        <v>1.5920000000000001</v>
      </c>
      <c r="M147" s="5" t="s">
        <v>22</v>
      </c>
      <c r="N147" s="5" t="s">
        <v>607</v>
      </c>
      <c r="O147" s="5" t="s">
        <v>19</v>
      </c>
      <c r="P147" s="5" t="s">
        <v>19</v>
      </c>
      <c r="Q147" s="5" t="s">
        <v>19</v>
      </c>
      <c r="R147" s="5" t="s">
        <v>19</v>
      </c>
      <c r="S147" s="5" t="s">
        <v>19</v>
      </c>
      <c r="T147" s="5" t="s">
        <v>19</v>
      </c>
      <c r="U147" s="5" t="s">
        <v>19</v>
      </c>
      <c r="V147" s="5" t="s">
        <v>19</v>
      </c>
      <c r="W147" s="5" t="s">
        <v>19</v>
      </c>
      <c r="X147" s="19">
        <f t="shared" si="0"/>
        <v>1.5920000000000001</v>
      </c>
    </row>
    <row r="148" spans="1:24">
      <c r="A148" t="s">
        <v>50</v>
      </c>
      <c r="B148" t="s">
        <v>19</v>
      </c>
      <c r="C148" t="s">
        <v>20</v>
      </c>
      <c r="D148" t="s">
        <v>70</v>
      </c>
      <c r="E148" t="s">
        <v>19</v>
      </c>
      <c r="F148" t="s">
        <v>19</v>
      </c>
      <c r="G148" t="s">
        <v>19</v>
      </c>
      <c r="H148" t="s">
        <v>19</v>
      </c>
      <c r="I148" t="s">
        <v>19</v>
      </c>
      <c r="J148" t="s">
        <v>19</v>
      </c>
      <c r="K148" s="21" t="str">
        <f>IF(X148&lt;=0.9,HYPERLINK("http://www.lxhausys.co.kr/popup/rn/download/downloadPopup.jsp?from=plwindow&amp;uu=/upload/window/REPORT/LGH-TW12-102.pdf","1등급"),IF(X148&lt;=1.2,HYPERLINK("http://www.lxhausys.co.kr/popup/rn/download/downloadPopup.jsp?from=plwindow&amp;uu=/upload/window/REPORT/LGH-TW12-102.pdf","2등급"),IF(X148&lt;=1.8,HYPERLINK("http://www.lxhausys.co.kr/popup/rn/download/downloadPopup.jsp?from=plwindow&amp;uu=/upload/window/REPORT/LGH-TW12-102.pdf","3등급"),IF(X148&lt;=2.3,HYPERLINK("http://www.lxhausys.co.kr/popup/rn/download/downloadPopup.jsp?from=plwindow&amp;uu=/upload/window/REPORT/LGH-TW12-102.pdf","4등급"),IF(X148&lt;=2.8,HYPERLINK("http://www.lxhausys.co.kr/popup/rn/download/downloadPopup.jsp?from=plwindow&amp;uu=/upload/window/REPORT/LGH-TW12-102.pdf","5등급"),HYPERLINK("http://www.lxhausys.co.kr/popup/rn/download/downloadPopup.jsp?from=plwindow&amp;uu=/upload/window/REPORT/LGH-TW12-102.pdf","등급외"))))))</f>
        <v>3등급</v>
      </c>
      <c r="L148" s="5">
        <v>1.387</v>
      </c>
      <c r="M148" s="5" t="s">
        <v>22</v>
      </c>
      <c r="N148" s="5" t="s">
        <v>607</v>
      </c>
      <c r="O148" s="5" t="s">
        <v>19</v>
      </c>
      <c r="P148" s="5" t="s">
        <v>19</v>
      </c>
      <c r="Q148" s="5" t="s">
        <v>19</v>
      </c>
      <c r="R148" s="5" t="s">
        <v>19</v>
      </c>
      <c r="S148" s="5" t="s">
        <v>19</v>
      </c>
      <c r="T148" s="5" t="s">
        <v>19</v>
      </c>
      <c r="U148" s="5" t="s">
        <v>19</v>
      </c>
      <c r="V148" s="5" t="s">
        <v>19</v>
      </c>
      <c r="W148" s="5" t="s">
        <v>19</v>
      </c>
      <c r="X148" s="19">
        <f t="shared" si="0"/>
        <v>1.387</v>
      </c>
    </row>
    <row r="149" spans="1:24">
      <c r="A149" t="s">
        <v>50</v>
      </c>
      <c r="B149" t="s">
        <v>19</v>
      </c>
      <c r="C149" t="s">
        <v>20</v>
      </c>
      <c r="D149" t="s">
        <v>40</v>
      </c>
      <c r="E149" t="s">
        <v>19</v>
      </c>
      <c r="F149" t="s">
        <v>19</v>
      </c>
      <c r="G149" t="s">
        <v>19</v>
      </c>
      <c r="H149" t="s">
        <v>19</v>
      </c>
      <c r="I149" t="s">
        <v>19</v>
      </c>
      <c r="J149" t="s">
        <v>19</v>
      </c>
      <c r="K149" s="21" t="str">
        <f>IF(X149&lt;=0.9,HYPERLINK("http://www.lxhausys.co.kr/popup/rn/download/downloadPopup.jsp?from=plwindow&amp;uu=/upload/window/REPORT/LGH-TW12-103.pdf","1등급"),IF(X149&lt;=1.2,HYPERLINK("http://www.lxhausys.co.kr/popup/rn/download/downloadPopup.jsp?from=plwindow&amp;uu=/upload/window/REPORT/LGH-TW12-103.pdf","2등급"),IF(X149&lt;=1.8,HYPERLINK("http://www.lxhausys.co.kr/popup/rn/download/downloadPopup.jsp?from=plwindow&amp;uu=/upload/window/REPORT/LGH-TW12-103.pdf","3등급"),IF(X149&lt;=2.3,HYPERLINK("http://www.lxhausys.co.kr/popup/rn/download/downloadPopup.jsp?from=plwindow&amp;uu=/upload/window/REPORT/LGH-TW12-103.pdf","4등급"),IF(X149&lt;=2.8,HYPERLINK("http://www.lxhausys.co.kr/popup/rn/download/downloadPopup.jsp?from=plwindow&amp;uu=/upload/window/REPORT/LGH-TW12-103.pdf","5등급"),HYPERLINK("http://www.lxhausys.co.kr/popup/rn/download/downloadPopup.jsp?from=plwindow&amp;uu=/upload/window/REPORT/LGH-TW12-103.pdf","등급외"))))))</f>
        <v>3등급</v>
      </c>
      <c r="L149" s="5">
        <v>1.258</v>
      </c>
      <c r="M149" s="5" t="s">
        <v>22</v>
      </c>
      <c r="N149" s="5" t="s">
        <v>607</v>
      </c>
      <c r="O149" s="5" t="s">
        <v>19</v>
      </c>
      <c r="P149" s="5" t="s">
        <v>19</v>
      </c>
      <c r="Q149" s="5" t="s">
        <v>19</v>
      </c>
      <c r="R149" s="5" t="s">
        <v>19</v>
      </c>
      <c r="S149" s="5" t="s">
        <v>19</v>
      </c>
      <c r="T149" s="5" t="s">
        <v>19</v>
      </c>
      <c r="U149" s="5" t="s">
        <v>19</v>
      </c>
      <c r="V149" s="5" t="s">
        <v>19</v>
      </c>
      <c r="W149" s="5" t="s">
        <v>19</v>
      </c>
      <c r="X149" s="19">
        <f t="shared" si="0"/>
        <v>1.258</v>
      </c>
    </row>
    <row r="150" spans="1:24">
      <c r="A150" t="s">
        <v>36</v>
      </c>
      <c r="B150" t="s">
        <v>19</v>
      </c>
      <c r="C150" t="s">
        <v>20</v>
      </c>
      <c r="D150" t="s">
        <v>76</v>
      </c>
      <c r="E150" t="s">
        <v>77</v>
      </c>
      <c r="F150" t="s">
        <v>19</v>
      </c>
      <c r="G150" t="s">
        <v>19</v>
      </c>
      <c r="H150" t="s">
        <v>19</v>
      </c>
      <c r="I150" t="s">
        <v>19</v>
      </c>
      <c r="J150" t="s">
        <v>19</v>
      </c>
      <c r="K150" s="21" t="str">
        <f>IF(X150&lt;=0.9,HYPERLINK("http://www.lxhausys.co.kr/popup/rn/download/downloadPopup.jsp?from=plwindow&amp;uu=/upload/window/REPORT/LGH-TW12-131.pdf","1등급"),IF(X150&lt;=1.2,HYPERLINK("http://www.lxhausys.co.kr/popup/rn/download/downloadPopup.jsp?from=plwindow&amp;uu=/upload/window/REPORT/LGH-TW12-131.pdf","2등급"),IF(X150&lt;=1.8,HYPERLINK("http://www.lxhausys.co.kr/popup/rn/download/downloadPopup.jsp?from=plwindow&amp;uu=/upload/window/REPORT/LGH-TW12-131.pdf","3등급"),IF(X150&lt;=2.3,HYPERLINK("http://www.lxhausys.co.kr/popup/rn/download/downloadPopup.jsp?from=plwindow&amp;uu=/upload/window/REPORT/LGH-TW12-131.pdf","4등급"),IF(X150&lt;=2.8,HYPERLINK("http://www.lxhausys.co.kr/popup/rn/download/downloadPopup.jsp?from=plwindow&amp;uu=/upload/window/REPORT/LGH-TW12-131.pdf","5등급"),HYPERLINK("http://www.lxhausys.co.kr/popup/rn/download/downloadPopup.jsp?from=plwindow&amp;uu=/upload/window/REPORT/LGH-TW12-131.pdf","등급외"))))))</f>
        <v>3등급</v>
      </c>
      <c r="L150" s="5">
        <v>1.468</v>
      </c>
      <c r="M150" s="5" t="s">
        <v>22</v>
      </c>
      <c r="N150" s="5" t="s">
        <v>607</v>
      </c>
      <c r="O150" s="5" t="s">
        <v>19</v>
      </c>
      <c r="P150" s="5" t="s">
        <v>19</v>
      </c>
      <c r="Q150" s="5" t="s">
        <v>19</v>
      </c>
      <c r="R150" s="5" t="s">
        <v>19</v>
      </c>
      <c r="S150" s="5" t="s">
        <v>19</v>
      </c>
      <c r="T150" s="5" t="s">
        <v>19</v>
      </c>
      <c r="U150" s="5" t="s">
        <v>19</v>
      </c>
      <c r="V150" s="5" t="s">
        <v>19</v>
      </c>
      <c r="W150" s="5" t="s">
        <v>19</v>
      </c>
      <c r="X150" s="19">
        <f t="shared" si="0"/>
        <v>1.468</v>
      </c>
    </row>
    <row r="151" spans="1:24">
      <c r="A151" t="s">
        <v>27</v>
      </c>
      <c r="B151" t="s">
        <v>19</v>
      </c>
      <c r="C151" t="s">
        <v>20</v>
      </c>
      <c r="D151" t="s">
        <v>104</v>
      </c>
      <c r="E151" t="s">
        <v>108</v>
      </c>
      <c r="F151" t="s">
        <v>19</v>
      </c>
      <c r="G151" t="s">
        <v>19</v>
      </c>
      <c r="H151" t="s">
        <v>19</v>
      </c>
      <c r="I151" t="s">
        <v>19</v>
      </c>
      <c r="J151" t="s">
        <v>19</v>
      </c>
      <c r="K151" s="21" t="str">
        <f>IF(X151&lt;=0.9,HYPERLINK("http://www.lxhausys.co.kr/popup/rn/download/downloadPopup.jsp?from=plwindow&amp;uu=/upload/window/REPORT/LGH-TW12-134.pdf","1등급"),IF(X151&lt;=1.2,HYPERLINK("http://www.lxhausys.co.kr/popup/rn/download/downloadPopup.jsp?from=plwindow&amp;uu=/upload/window/REPORT/LGH-TW12-134.pdf","2등급"),IF(X151&lt;=1.8,HYPERLINK("http://www.lxhausys.co.kr/popup/rn/download/downloadPopup.jsp?from=plwindow&amp;uu=/upload/window/REPORT/LGH-TW12-134.pdf","3등급"),IF(X151&lt;=2.3,HYPERLINK("http://www.lxhausys.co.kr/popup/rn/download/downloadPopup.jsp?from=plwindow&amp;uu=/upload/window/REPORT/LGH-TW12-134.pdf","4등급"),IF(X151&lt;=2.8,HYPERLINK("http://www.lxhausys.co.kr/popup/rn/download/downloadPopup.jsp?from=plwindow&amp;uu=/upload/window/REPORT/LGH-TW12-134.pdf","5등급"),HYPERLINK("http://www.lxhausys.co.kr/popup/rn/download/downloadPopup.jsp?from=plwindow&amp;uu=/upload/window/REPORT/LGH-TW12-134.pdf","등급외"))))))</f>
        <v>2등급</v>
      </c>
      <c r="L151" s="5">
        <v>1.153</v>
      </c>
      <c r="M151" s="5" t="s">
        <v>22</v>
      </c>
      <c r="N151" s="5" t="s">
        <v>607</v>
      </c>
      <c r="O151" s="5" t="s">
        <v>19</v>
      </c>
      <c r="P151" s="5" t="s">
        <v>19</v>
      </c>
      <c r="Q151" s="5" t="s">
        <v>19</v>
      </c>
      <c r="R151" s="5" t="s">
        <v>19</v>
      </c>
      <c r="S151" s="5" t="s">
        <v>19</v>
      </c>
      <c r="T151" s="5" t="s">
        <v>19</v>
      </c>
      <c r="U151" s="5" t="s">
        <v>19</v>
      </c>
      <c r="V151" s="5" t="s">
        <v>19</v>
      </c>
      <c r="W151" s="5" t="s">
        <v>19</v>
      </c>
      <c r="X151" s="19">
        <f t="shared" si="0"/>
        <v>1.153</v>
      </c>
    </row>
    <row r="152" spans="1:24">
      <c r="A152" t="s">
        <v>78</v>
      </c>
      <c r="B152" t="s">
        <v>19</v>
      </c>
      <c r="C152" t="s">
        <v>20</v>
      </c>
      <c r="D152" t="s">
        <v>21</v>
      </c>
      <c r="E152" t="s">
        <v>109</v>
      </c>
      <c r="F152" t="s">
        <v>19</v>
      </c>
      <c r="G152" t="s">
        <v>19</v>
      </c>
      <c r="H152" t="s">
        <v>19</v>
      </c>
      <c r="I152" t="s">
        <v>19</v>
      </c>
      <c r="J152" t="s">
        <v>19</v>
      </c>
      <c r="K152" s="21" t="str">
        <f>IF(X152&lt;=0.9,HYPERLINK("http://www.lxhausys.co.kr/popup/rn/download/downloadPopup.jsp?from=plwindow&amp;uu=/upload/window/REPORT/LGH-TW12-135.pdf","1등급"),IF(X152&lt;=1.2,HYPERLINK("http://www.lxhausys.co.kr/popup/rn/download/downloadPopup.jsp?from=plwindow&amp;uu=/upload/window/REPORT/LGH-TW12-135.pdf","2등급"),IF(X152&lt;=1.8,HYPERLINK("http://www.lxhausys.co.kr/popup/rn/download/downloadPopup.jsp?from=plwindow&amp;uu=/upload/window/REPORT/LGH-TW12-135.pdf","3등급"),IF(X152&lt;=2.3,HYPERLINK("http://www.lxhausys.co.kr/popup/rn/download/downloadPopup.jsp?from=plwindow&amp;uu=/upload/window/REPORT/LGH-TW12-135.pdf","4등급"),IF(X152&lt;=2.8,HYPERLINK("http://www.lxhausys.co.kr/popup/rn/download/downloadPopup.jsp?from=plwindow&amp;uu=/upload/window/REPORT/LGH-TW12-135.pdf","5등급"),HYPERLINK("http://www.lxhausys.co.kr/popup/rn/download/downloadPopup.jsp?from=plwindow&amp;uu=/upload/window/REPORT/LGH-TW12-135.pdf","등급외"))))))</f>
        <v>3등급</v>
      </c>
      <c r="L152" s="5">
        <v>1.724</v>
      </c>
      <c r="M152" s="5" t="s">
        <v>22</v>
      </c>
      <c r="N152" s="5" t="s">
        <v>607</v>
      </c>
      <c r="O152" s="5" t="s">
        <v>19</v>
      </c>
      <c r="P152" s="5" t="s">
        <v>19</v>
      </c>
      <c r="Q152" s="5" t="s">
        <v>19</v>
      </c>
      <c r="R152" s="5" t="s">
        <v>19</v>
      </c>
      <c r="S152" s="5" t="s">
        <v>19</v>
      </c>
      <c r="T152" s="5" t="s">
        <v>19</v>
      </c>
      <c r="U152" s="5" t="s">
        <v>19</v>
      </c>
      <c r="V152" s="5" t="s">
        <v>19</v>
      </c>
      <c r="W152" s="5" t="s">
        <v>19</v>
      </c>
      <c r="X152" s="19">
        <f t="shared" si="0"/>
        <v>1.724</v>
      </c>
    </row>
    <row r="153" spans="1:24">
      <c r="A153" t="s">
        <v>23</v>
      </c>
      <c r="B153" t="s">
        <v>19</v>
      </c>
      <c r="C153" t="s">
        <v>20</v>
      </c>
      <c r="D153" t="s">
        <v>104</v>
      </c>
      <c r="E153" t="s">
        <v>19</v>
      </c>
      <c r="F153" t="s">
        <v>19</v>
      </c>
      <c r="G153" t="s">
        <v>19</v>
      </c>
      <c r="H153" t="s">
        <v>26</v>
      </c>
      <c r="I153" t="s">
        <v>19</v>
      </c>
      <c r="J153" t="s">
        <v>19</v>
      </c>
      <c r="K153" s="21" t="str">
        <f>IF(X153&lt;=0.9,HYPERLINK("http://www.lxhausys.co.kr/popup/rn/download/downloadPopup.jsp?from=plwindow&amp;uu=/upload/window/REPORT/LGH-TW12-138.pdf","1등급"),IF(X153&lt;=1.2,HYPERLINK("http://www.lxhausys.co.kr/popup/rn/download/downloadPopup.jsp?from=plwindow&amp;uu=/upload/window/REPORT/LGH-TW12-138.pdf","2등급"),IF(X153&lt;=1.8,HYPERLINK("http://www.lxhausys.co.kr/popup/rn/download/downloadPopup.jsp?from=plwindow&amp;uu=/upload/window/REPORT/LGH-TW12-138.pdf","3등급"),IF(X153&lt;=2.3,HYPERLINK("http://www.lxhausys.co.kr/popup/rn/download/downloadPopup.jsp?from=plwindow&amp;uu=/upload/window/REPORT/LGH-TW12-138.pdf","4등급"),IF(X153&lt;=2.8,HYPERLINK("http://www.lxhausys.co.kr/popup/rn/download/downloadPopup.jsp?from=plwindow&amp;uu=/upload/window/REPORT/LGH-TW12-138.pdf","5등급"),HYPERLINK("http://www.lxhausys.co.kr/popup/rn/download/downloadPopup.jsp?from=plwindow&amp;uu=/upload/window/REPORT/LGH-TW12-138.pdf","등급외"))))))</f>
        <v>1등급</v>
      </c>
      <c r="L153" s="5">
        <v>0.87400000000000011</v>
      </c>
      <c r="M153" s="5" t="s">
        <v>22</v>
      </c>
      <c r="N153" s="5" t="s">
        <v>607</v>
      </c>
      <c r="O153" s="5" t="s">
        <v>19</v>
      </c>
      <c r="P153" s="5" t="s">
        <v>19</v>
      </c>
      <c r="Q153" s="5" t="s">
        <v>19</v>
      </c>
      <c r="R153" s="5" t="s">
        <v>19</v>
      </c>
      <c r="S153" s="5" t="s">
        <v>19</v>
      </c>
      <c r="T153" s="5" t="s">
        <v>19</v>
      </c>
      <c r="U153" s="5" t="s">
        <v>19</v>
      </c>
      <c r="V153" s="5" t="s">
        <v>19</v>
      </c>
      <c r="W153" s="5" t="s">
        <v>19</v>
      </c>
      <c r="X153" s="19">
        <f t="shared" si="0"/>
        <v>0.87400000000000011</v>
      </c>
    </row>
    <row r="154" spans="1:24">
      <c r="A154" t="s">
        <v>27</v>
      </c>
      <c r="B154" t="s">
        <v>19</v>
      </c>
      <c r="C154" t="s">
        <v>20</v>
      </c>
      <c r="D154" t="s">
        <v>110</v>
      </c>
      <c r="E154" t="s">
        <v>111</v>
      </c>
      <c r="F154" t="s">
        <v>19</v>
      </c>
      <c r="G154" t="s">
        <v>19</v>
      </c>
      <c r="H154" t="s">
        <v>19</v>
      </c>
      <c r="I154" t="s">
        <v>19</v>
      </c>
      <c r="J154" t="s">
        <v>19</v>
      </c>
      <c r="K154" s="21" t="str">
        <f>IF(X154&lt;=0.9,HYPERLINK("http://www.lxhausys.co.kr/popup/rn/download/downloadPopup.jsp?from=plwindow&amp;uu=/upload/window/REPORT/LGH-TW12-143.pdf","1등급"),IF(X154&lt;=1.2,HYPERLINK("http://www.lxhausys.co.kr/popup/rn/download/downloadPopup.jsp?from=plwindow&amp;uu=/upload/window/REPORT/LGH-TW12-143.pdf","2등급"),IF(X154&lt;=1.8,HYPERLINK("http://www.lxhausys.co.kr/popup/rn/download/downloadPopup.jsp?from=plwindow&amp;uu=/upload/window/REPORT/LGH-TW12-143.pdf","3등급"),IF(X154&lt;=2.3,HYPERLINK("http://www.lxhausys.co.kr/popup/rn/download/downloadPopup.jsp?from=plwindow&amp;uu=/upload/window/REPORT/LGH-TW12-143.pdf","4등급"),IF(X154&lt;=2.8,HYPERLINK("http://www.lxhausys.co.kr/popup/rn/download/downloadPopup.jsp?from=plwindow&amp;uu=/upload/window/REPORT/LGH-TW12-143.pdf","5등급"),HYPERLINK("http://www.lxhausys.co.kr/popup/rn/download/downloadPopup.jsp?from=plwindow&amp;uu=/upload/window/REPORT/LGH-TW12-143.pdf","등급외"))))))</f>
        <v>2등급</v>
      </c>
      <c r="L154" s="5">
        <v>1.075</v>
      </c>
      <c r="M154" s="5" t="s">
        <v>22</v>
      </c>
      <c r="N154" s="5" t="s">
        <v>607</v>
      </c>
      <c r="O154" s="5" t="s">
        <v>19</v>
      </c>
      <c r="P154" s="5" t="s">
        <v>19</v>
      </c>
      <c r="Q154" s="5" t="s">
        <v>19</v>
      </c>
      <c r="R154" s="5" t="s">
        <v>19</v>
      </c>
      <c r="S154" s="5" t="s">
        <v>19</v>
      </c>
      <c r="T154" s="5" t="s">
        <v>19</v>
      </c>
      <c r="U154" s="5" t="s">
        <v>19</v>
      </c>
      <c r="V154" s="5" t="s">
        <v>19</v>
      </c>
      <c r="W154" s="5" t="s">
        <v>19</v>
      </c>
      <c r="X154" s="19">
        <f t="shared" si="0"/>
        <v>1.075</v>
      </c>
    </row>
    <row r="155" spans="1:24">
      <c r="A155" t="s">
        <v>27</v>
      </c>
      <c r="B155" t="s">
        <v>19</v>
      </c>
      <c r="C155" t="s">
        <v>20</v>
      </c>
      <c r="D155" t="s">
        <v>89</v>
      </c>
      <c r="E155" t="s">
        <v>89</v>
      </c>
      <c r="F155" t="s">
        <v>19</v>
      </c>
      <c r="G155" t="s">
        <v>19</v>
      </c>
      <c r="H155" t="s">
        <v>89</v>
      </c>
      <c r="I155" t="s">
        <v>19</v>
      </c>
      <c r="J155" t="s">
        <v>19</v>
      </c>
      <c r="K155" s="21" t="str">
        <f>IF(X155&lt;=0.9,HYPERLINK("http://www.lxhausys.co.kr/popup/rn/download/downloadPopup.jsp?from=plwindow&amp;uu=/upload/window/REPORT/LGH-TW12-144.pdf","1등급"),IF(X155&lt;=1.2,HYPERLINK("http://www.lxhausys.co.kr/popup/rn/download/downloadPopup.jsp?from=plwindow&amp;uu=/upload/window/REPORT/LGH-TW12-144.pdf","2등급"),IF(X155&lt;=1.8,HYPERLINK("http://www.lxhausys.co.kr/popup/rn/download/downloadPopup.jsp?from=plwindow&amp;uu=/upload/window/REPORT/LGH-TW12-144.pdf","3등급"),IF(X155&lt;=2.3,HYPERLINK("http://www.lxhausys.co.kr/popup/rn/download/downloadPopup.jsp?from=plwindow&amp;uu=/upload/window/REPORT/LGH-TW12-144.pdf","4등급"),IF(X155&lt;=2.8,HYPERLINK("http://www.lxhausys.co.kr/popup/rn/download/downloadPopup.jsp?from=plwindow&amp;uu=/upload/window/REPORT/LGH-TW12-144.pdf","5등급"),HYPERLINK("http://www.lxhausys.co.kr/popup/rn/download/downloadPopup.jsp?from=plwindow&amp;uu=/upload/window/REPORT/LGH-TW12-144.pdf","등급외"))))))</f>
        <v>1등급</v>
      </c>
      <c r="L155" s="5">
        <v>0.69499999999999995</v>
      </c>
      <c r="M155" s="5" t="s">
        <v>22</v>
      </c>
      <c r="N155" s="5" t="s">
        <v>607</v>
      </c>
      <c r="O155" s="5" t="s">
        <v>19</v>
      </c>
      <c r="P155" s="5" t="s">
        <v>19</v>
      </c>
      <c r="Q155" s="5" t="s">
        <v>19</v>
      </c>
      <c r="R155" s="5" t="s">
        <v>19</v>
      </c>
      <c r="S155" s="5" t="s">
        <v>19</v>
      </c>
      <c r="T155" s="5" t="s">
        <v>19</v>
      </c>
      <c r="U155" s="5" t="s">
        <v>19</v>
      </c>
      <c r="V155" s="5" t="s">
        <v>19</v>
      </c>
      <c r="W155" s="5" t="s">
        <v>19</v>
      </c>
      <c r="X155" s="19">
        <f t="shared" si="0"/>
        <v>0.69499999999999995</v>
      </c>
    </row>
    <row r="156" spans="1:24">
      <c r="A156" t="s">
        <v>44</v>
      </c>
      <c r="B156" t="s">
        <v>19</v>
      </c>
      <c r="C156" t="s">
        <v>20</v>
      </c>
      <c r="D156" t="s">
        <v>105</v>
      </c>
      <c r="E156" t="s">
        <v>19</v>
      </c>
      <c r="F156" t="s">
        <v>19</v>
      </c>
      <c r="G156" t="s">
        <v>19</v>
      </c>
      <c r="H156" t="s">
        <v>19</v>
      </c>
      <c r="I156" t="s">
        <v>19</v>
      </c>
      <c r="J156" t="s">
        <v>19</v>
      </c>
      <c r="K156" s="21" t="str">
        <f>IF(X156&lt;=0.9,HYPERLINK("http://www.lxhausys.co.kr/popup/rn/download/downloadPopup.jsp?from=plwindow&amp;uu=/upload/window/REPORT/LGH-TW12-147.pdf","1등급"),IF(X156&lt;=1.2,HYPERLINK("http://www.lxhausys.co.kr/popup/rn/download/downloadPopup.jsp?from=plwindow&amp;uu=/upload/window/REPORT/LGH-TW12-147.pdf","2등급"),IF(X156&lt;=1.8,HYPERLINK("http://www.lxhausys.co.kr/popup/rn/download/downloadPopup.jsp?from=plwindow&amp;uu=/upload/window/REPORT/LGH-TW12-147.pdf","3등급"),IF(X156&lt;=2.3,HYPERLINK("http://www.lxhausys.co.kr/popup/rn/download/downloadPopup.jsp?from=plwindow&amp;uu=/upload/window/REPORT/LGH-TW12-147.pdf","4등급"),IF(X156&lt;=2.8,HYPERLINK("http://www.lxhausys.co.kr/popup/rn/download/downloadPopup.jsp?from=plwindow&amp;uu=/upload/window/REPORT/LGH-TW12-147.pdf","5등급"),HYPERLINK("http://www.lxhausys.co.kr/popup/rn/download/downloadPopup.jsp?from=plwindow&amp;uu=/upload/window/REPORT/LGH-TW12-147.pdf","등급외"))))))</f>
        <v>3등급</v>
      </c>
      <c r="L156" s="5">
        <v>1.5429999999999999</v>
      </c>
      <c r="M156" s="5" t="s">
        <v>22</v>
      </c>
      <c r="N156" s="5" t="s">
        <v>607</v>
      </c>
      <c r="O156" s="5" t="s">
        <v>19</v>
      </c>
      <c r="P156" s="5" t="s">
        <v>19</v>
      </c>
      <c r="Q156" s="5" t="s">
        <v>19</v>
      </c>
      <c r="R156" s="5" t="s">
        <v>19</v>
      </c>
      <c r="S156" s="5" t="s">
        <v>19</v>
      </c>
      <c r="T156" s="5" t="s">
        <v>19</v>
      </c>
      <c r="U156" s="5" t="s">
        <v>19</v>
      </c>
      <c r="V156" s="5" t="s">
        <v>19</v>
      </c>
      <c r="W156" s="5" t="s">
        <v>19</v>
      </c>
      <c r="X156" s="19">
        <f t="shared" si="0"/>
        <v>1.5429999999999999</v>
      </c>
    </row>
    <row r="157" spans="1:24">
      <c r="A157" t="s">
        <v>44</v>
      </c>
      <c r="B157" t="s">
        <v>19</v>
      </c>
      <c r="C157" t="s">
        <v>20</v>
      </c>
      <c r="D157" t="s">
        <v>51</v>
      </c>
      <c r="E157" t="s">
        <v>19</v>
      </c>
      <c r="F157" t="s">
        <v>19</v>
      </c>
      <c r="G157" t="s">
        <v>19</v>
      </c>
      <c r="H157" t="s">
        <v>19</v>
      </c>
      <c r="I157" t="s">
        <v>19</v>
      </c>
      <c r="J157" t="s">
        <v>19</v>
      </c>
      <c r="K157" s="21" t="str">
        <f>IF(X157&lt;=0.9,HYPERLINK("http://www.lxhausys.co.kr/popup/rn/download/downloadPopup.jsp?from=plwindow&amp;uu=/upload/window/REPORT/LGH-TW12-148.pdf","1등급"),IF(X157&lt;=1.2,HYPERLINK("http://www.lxhausys.co.kr/popup/rn/download/downloadPopup.jsp?from=plwindow&amp;uu=/upload/window/REPORT/LGH-TW12-148.pdf","2등급"),IF(X157&lt;=1.8,HYPERLINK("http://www.lxhausys.co.kr/popup/rn/download/downloadPopup.jsp?from=plwindow&amp;uu=/upload/window/REPORT/LGH-TW12-148.pdf","3등급"),IF(X157&lt;=2.3,HYPERLINK("http://www.lxhausys.co.kr/popup/rn/download/downloadPopup.jsp?from=plwindow&amp;uu=/upload/window/REPORT/LGH-TW12-148.pdf","4등급"),IF(X157&lt;=2.8,HYPERLINK("http://www.lxhausys.co.kr/popup/rn/download/downloadPopup.jsp?from=plwindow&amp;uu=/upload/window/REPORT/LGH-TW12-148.pdf","5등급"),HYPERLINK("http://www.lxhausys.co.kr/popup/rn/download/downloadPopup.jsp?from=plwindow&amp;uu=/upload/window/REPORT/LGH-TW12-148.pdf","등급외"))))))</f>
        <v>2등급</v>
      </c>
      <c r="L157" s="5">
        <v>1.175</v>
      </c>
      <c r="M157" s="5" t="s">
        <v>22</v>
      </c>
      <c r="N157" s="5" t="s">
        <v>607</v>
      </c>
      <c r="O157" s="5" t="s">
        <v>19</v>
      </c>
      <c r="P157" s="5" t="s">
        <v>19</v>
      </c>
      <c r="Q157" s="5" t="s">
        <v>19</v>
      </c>
      <c r="R157" s="5" t="s">
        <v>19</v>
      </c>
      <c r="S157" s="5" t="s">
        <v>19</v>
      </c>
      <c r="T157" s="5" t="s">
        <v>19</v>
      </c>
      <c r="U157" s="5" t="s">
        <v>19</v>
      </c>
      <c r="V157" s="5" t="s">
        <v>19</v>
      </c>
      <c r="W157" s="5" t="s">
        <v>19</v>
      </c>
      <c r="X157" s="19">
        <f t="shared" si="0"/>
        <v>1.175</v>
      </c>
    </row>
    <row r="158" spans="1:24">
      <c r="A158" t="s">
        <v>39</v>
      </c>
      <c r="B158" t="s">
        <v>19</v>
      </c>
      <c r="C158" t="s">
        <v>20</v>
      </c>
      <c r="D158" t="s">
        <v>105</v>
      </c>
      <c r="E158" t="s">
        <v>19</v>
      </c>
      <c r="F158" t="s">
        <v>19</v>
      </c>
      <c r="G158" t="s">
        <v>19</v>
      </c>
      <c r="H158" t="s">
        <v>19</v>
      </c>
      <c r="I158" t="s">
        <v>19</v>
      </c>
      <c r="J158" t="s">
        <v>19</v>
      </c>
      <c r="K158" s="21" t="str">
        <f>IF(X158&lt;=0.9,HYPERLINK("http://www.lxhausys.co.kr/popup/rn/download/downloadPopup.jsp?from=plwindow&amp;uu=/upload/window/REPORT/LGH-TW12-150.pdf","1등급"),IF(X158&lt;=1.2,HYPERLINK("http://www.lxhausys.co.kr/popup/rn/download/downloadPopup.jsp?from=plwindow&amp;uu=/upload/window/REPORT/LGH-TW12-150.pdf","2등급"),IF(X158&lt;=1.8,HYPERLINK("http://www.lxhausys.co.kr/popup/rn/download/downloadPopup.jsp?from=plwindow&amp;uu=/upload/window/REPORT/LGH-TW12-150.pdf","3등급"),IF(X158&lt;=2.3,HYPERLINK("http://www.lxhausys.co.kr/popup/rn/download/downloadPopup.jsp?from=plwindow&amp;uu=/upload/window/REPORT/LGH-TW12-150.pdf","4등급"),IF(X158&lt;=2.8,HYPERLINK("http://www.lxhausys.co.kr/popup/rn/download/downloadPopup.jsp?from=plwindow&amp;uu=/upload/window/REPORT/LGH-TW12-150.pdf","5등급"),HYPERLINK("http://www.lxhausys.co.kr/popup/rn/download/downloadPopup.jsp?from=plwindow&amp;uu=/upload/window/REPORT/LGH-TW12-150.pdf","등급외"))))))</f>
        <v>3등급</v>
      </c>
      <c r="L158" s="5">
        <v>1.6639999999999999</v>
      </c>
      <c r="M158" s="5" t="s">
        <v>22</v>
      </c>
      <c r="N158" s="5" t="s">
        <v>607</v>
      </c>
      <c r="O158" s="5" t="s">
        <v>19</v>
      </c>
      <c r="P158" s="5" t="s">
        <v>19</v>
      </c>
      <c r="Q158" s="5" t="s">
        <v>19</v>
      </c>
      <c r="R158" s="5" t="s">
        <v>19</v>
      </c>
      <c r="S158" s="5" t="s">
        <v>19</v>
      </c>
      <c r="T158" s="5" t="s">
        <v>19</v>
      </c>
      <c r="U158" s="5" t="s">
        <v>19</v>
      </c>
      <c r="V158" s="5" t="s">
        <v>19</v>
      </c>
      <c r="W158" s="5" t="s">
        <v>19</v>
      </c>
      <c r="X158" s="19">
        <f t="shared" si="0"/>
        <v>1.6639999999999999</v>
      </c>
    </row>
    <row r="159" spans="1:24">
      <c r="A159" t="s">
        <v>19</v>
      </c>
      <c r="B159" t="s">
        <v>49</v>
      </c>
      <c r="C159" t="s">
        <v>20</v>
      </c>
      <c r="D159" t="s">
        <v>112</v>
      </c>
      <c r="E159" t="s">
        <v>19</v>
      </c>
      <c r="F159" t="s">
        <v>19</v>
      </c>
      <c r="G159" t="s">
        <v>19</v>
      </c>
      <c r="H159" t="s">
        <v>19</v>
      </c>
      <c r="I159" t="s">
        <v>19</v>
      </c>
      <c r="J159" t="s">
        <v>19</v>
      </c>
      <c r="K159" s="21" t="str">
        <f>IF(X159&lt;=0.9,HYPERLINK("http://www.lxhausys.co.kr/popup/rn/download/downloadPopup.jsp?from=plwindow&amp;uu=/upload/window/REPORT/LGH-TW12-152.pdf","1등급"),IF(X159&lt;=1.2,HYPERLINK("http://www.lxhausys.co.kr/popup/rn/download/downloadPopup.jsp?from=plwindow&amp;uu=/upload/window/REPORT/LGH-TW12-152.pdf","2등급"),IF(X159&lt;=1.8,HYPERLINK("http://www.lxhausys.co.kr/popup/rn/download/downloadPopup.jsp?from=plwindow&amp;uu=/upload/window/REPORT/LGH-TW12-152.pdf","3등급"),IF(X159&lt;=2.3,HYPERLINK("http://www.lxhausys.co.kr/popup/rn/download/downloadPopup.jsp?from=plwindow&amp;uu=/upload/window/REPORT/LGH-TW12-152.pdf","4등급"),IF(X159&lt;=2.8,HYPERLINK("http://www.lxhausys.co.kr/popup/rn/download/downloadPopup.jsp?from=plwindow&amp;uu=/upload/window/REPORT/LGH-TW12-152.pdf","5등급"),HYPERLINK("http://www.lxhausys.co.kr/popup/rn/download/downloadPopup.jsp?from=plwindow&amp;uu=/upload/window/REPORT/LGH-TW12-152.pdf","등급외"))))))</f>
        <v>등급외</v>
      </c>
      <c r="L159" s="5">
        <v>3.0579999999999998</v>
      </c>
      <c r="M159" s="5" t="s">
        <v>103</v>
      </c>
      <c r="N159" s="5" t="s">
        <v>607</v>
      </c>
      <c r="O159" s="5" t="s">
        <v>19</v>
      </c>
      <c r="P159" s="5" t="s">
        <v>19</v>
      </c>
      <c r="Q159" s="5" t="s">
        <v>19</v>
      </c>
      <c r="R159" s="5" t="s">
        <v>19</v>
      </c>
      <c r="S159" s="5" t="s">
        <v>19</v>
      </c>
      <c r="T159" s="5" t="s">
        <v>19</v>
      </c>
      <c r="U159" s="5" t="s">
        <v>19</v>
      </c>
      <c r="V159" s="5" t="s">
        <v>19</v>
      </c>
      <c r="W159" s="5" t="s">
        <v>19</v>
      </c>
      <c r="X159" s="19">
        <f t="shared" si="0"/>
        <v>3.0579999999999998</v>
      </c>
    </row>
    <row r="160" spans="1:24">
      <c r="A160" t="s">
        <v>55</v>
      </c>
      <c r="B160" t="s">
        <v>19</v>
      </c>
      <c r="C160" t="s">
        <v>20</v>
      </c>
      <c r="D160" t="s">
        <v>56</v>
      </c>
      <c r="E160" t="s">
        <v>19</v>
      </c>
      <c r="F160" t="s">
        <v>19</v>
      </c>
      <c r="G160" t="s">
        <v>19</v>
      </c>
      <c r="H160" t="s">
        <v>19</v>
      </c>
      <c r="I160" t="s">
        <v>19</v>
      </c>
      <c r="J160" t="s">
        <v>19</v>
      </c>
      <c r="K160" s="21" t="str">
        <f>IF(X160&lt;=0.9,HYPERLINK("http://www.lxhausys.co.kr/popup/rn/download/downloadPopup.jsp?from=plwindow&amp;uu=/upload/window/REPORT/LGH-TW13-003.pdf","1등급"),IF(X160&lt;=1.2,HYPERLINK("http://www.lxhausys.co.kr/popup/rn/download/downloadPopup.jsp?from=plwindow&amp;uu=/upload/window/REPORT/LGH-TW13-003.pdf","2등급"),IF(X160&lt;=1.8,HYPERLINK("http://www.lxhausys.co.kr/popup/rn/download/downloadPopup.jsp?from=plwindow&amp;uu=/upload/window/REPORT/LGH-TW13-003.pdf","3등급"),IF(X160&lt;=2.3,HYPERLINK("http://www.lxhausys.co.kr/popup/rn/download/downloadPopup.jsp?from=plwindow&amp;uu=/upload/window/REPORT/LGH-TW13-003.pdf","4등급"),IF(X160&lt;=2.8,HYPERLINK("http://www.lxhausys.co.kr/popup/rn/download/downloadPopup.jsp?from=plwindow&amp;uu=/upload/window/REPORT/LGH-TW13-003.pdf","5등급"),HYPERLINK("http://www.lxhausys.co.kr/popup/rn/download/downloadPopup.jsp?from=plwindow&amp;uu=/upload/window/REPORT/LGH-TW13-003.pdf","등급외"))))))</f>
        <v>3등급</v>
      </c>
      <c r="L160" s="5">
        <v>1.61</v>
      </c>
      <c r="M160" s="5" t="s">
        <v>22</v>
      </c>
      <c r="N160" s="5" t="s">
        <v>607</v>
      </c>
      <c r="O160" s="5" t="s">
        <v>19</v>
      </c>
      <c r="P160" s="5" t="s">
        <v>19</v>
      </c>
      <c r="Q160" s="5" t="s">
        <v>19</v>
      </c>
      <c r="R160" s="5" t="s">
        <v>19</v>
      </c>
      <c r="S160" s="5" t="s">
        <v>19</v>
      </c>
      <c r="T160" s="5" t="s">
        <v>19</v>
      </c>
      <c r="U160" s="5" t="s">
        <v>19</v>
      </c>
      <c r="V160" s="5" t="s">
        <v>19</v>
      </c>
      <c r="W160" s="5" t="s">
        <v>19</v>
      </c>
      <c r="X160" s="19">
        <f t="shared" si="0"/>
        <v>1.61</v>
      </c>
    </row>
    <row r="161" spans="1:24">
      <c r="A161" t="s">
        <v>39</v>
      </c>
      <c r="B161" t="s">
        <v>19</v>
      </c>
      <c r="C161" t="s">
        <v>20</v>
      </c>
      <c r="D161" t="s">
        <v>113</v>
      </c>
      <c r="E161" t="s">
        <v>19</v>
      </c>
      <c r="F161" t="s">
        <v>19</v>
      </c>
      <c r="G161" t="s">
        <v>19</v>
      </c>
      <c r="H161" t="s">
        <v>19</v>
      </c>
      <c r="I161" t="s">
        <v>19</v>
      </c>
      <c r="J161" t="s">
        <v>19</v>
      </c>
      <c r="K161" s="21" t="str">
        <f>IF(X161&lt;=0.9,HYPERLINK("http://www.lxhausys.co.kr/popup/rn/download/downloadPopup.jsp?from=plwindow&amp;uu=/upload/window/REPORT/LGH-TW13-004.pdf","1등급"),IF(X161&lt;=1.2,HYPERLINK("http://www.lxhausys.co.kr/popup/rn/download/downloadPopup.jsp?from=plwindow&amp;uu=/upload/window/REPORT/LGH-TW13-004.pdf","2등급"),IF(X161&lt;=1.8,HYPERLINK("http://www.lxhausys.co.kr/popup/rn/download/downloadPopup.jsp?from=plwindow&amp;uu=/upload/window/REPORT/LGH-TW13-004.pdf","3등급"),IF(X161&lt;=2.3,HYPERLINK("http://www.lxhausys.co.kr/popup/rn/download/downloadPopup.jsp?from=plwindow&amp;uu=/upload/window/REPORT/LGH-TW13-004.pdf","4등급"),IF(X161&lt;=2.8,HYPERLINK("http://www.lxhausys.co.kr/popup/rn/download/downloadPopup.jsp?from=plwindow&amp;uu=/upload/window/REPORT/LGH-TW13-004.pdf","5등급"),HYPERLINK("http://www.lxhausys.co.kr/popup/rn/download/downloadPopup.jsp?from=plwindow&amp;uu=/upload/window/REPORT/LGH-TW13-004.pdf","등급외"))))))</f>
        <v>3등급</v>
      </c>
      <c r="L161" s="5">
        <v>1.333</v>
      </c>
      <c r="M161" s="5" t="s">
        <v>22</v>
      </c>
      <c r="N161" s="5" t="s">
        <v>607</v>
      </c>
      <c r="O161" s="5" t="s">
        <v>19</v>
      </c>
      <c r="P161" s="5" t="s">
        <v>19</v>
      </c>
      <c r="Q161" s="5" t="s">
        <v>19</v>
      </c>
      <c r="R161" s="5" t="s">
        <v>19</v>
      </c>
      <c r="S161" s="5" t="s">
        <v>19</v>
      </c>
      <c r="T161" s="5" t="s">
        <v>19</v>
      </c>
      <c r="U161" s="5" t="s">
        <v>19</v>
      </c>
      <c r="V161" s="5" t="s">
        <v>19</v>
      </c>
      <c r="W161" s="5" t="s">
        <v>19</v>
      </c>
      <c r="X161" s="19">
        <f t="shared" si="0"/>
        <v>1.333</v>
      </c>
    </row>
    <row r="162" spans="1:24">
      <c r="A162" t="s">
        <v>36</v>
      </c>
      <c r="B162" t="s">
        <v>19</v>
      </c>
      <c r="C162" t="s">
        <v>20</v>
      </c>
      <c r="D162" t="s">
        <v>105</v>
      </c>
      <c r="E162" t="s">
        <v>114</v>
      </c>
      <c r="F162" t="s">
        <v>19</v>
      </c>
      <c r="G162" t="s">
        <v>19</v>
      </c>
      <c r="H162" t="s">
        <v>19</v>
      </c>
      <c r="I162" t="s">
        <v>19</v>
      </c>
      <c r="J162" t="s">
        <v>19</v>
      </c>
      <c r="K162" s="21" t="str">
        <f>IF(X162&lt;=0.9,HYPERLINK("http://www.lxhausys.co.kr/popup/rn/download/downloadPopup.jsp?from=plwindow&amp;uu=/upload/window/REPORT/LGH-TW13-013.pdf","1등급"),IF(X162&lt;=1.2,HYPERLINK("http://www.lxhausys.co.kr/popup/rn/download/downloadPopup.jsp?from=plwindow&amp;uu=/upload/window/REPORT/LGH-TW13-013.pdf","2등급"),IF(X162&lt;=1.8,HYPERLINK("http://www.lxhausys.co.kr/popup/rn/download/downloadPopup.jsp?from=plwindow&amp;uu=/upload/window/REPORT/LGH-TW13-013.pdf","3등급"),IF(X162&lt;=2.3,HYPERLINK("http://www.lxhausys.co.kr/popup/rn/download/downloadPopup.jsp?from=plwindow&amp;uu=/upload/window/REPORT/LGH-TW13-013.pdf","4등급"),IF(X162&lt;=2.8,HYPERLINK("http://www.lxhausys.co.kr/popup/rn/download/downloadPopup.jsp?from=plwindow&amp;uu=/upload/window/REPORT/LGH-TW13-013.pdf","5등급"),HYPERLINK("http://www.lxhausys.co.kr/popup/rn/download/downloadPopup.jsp?from=plwindow&amp;uu=/upload/window/REPORT/LGH-TW13-013.pdf","등급외"))))))</f>
        <v>3등급</v>
      </c>
      <c r="L162" s="5">
        <v>1.5429999999999999</v>
      </c>
      <c r="M162" s="5" t="s">
        <v>22</v>
      </c>
      <c r="N162" s="5" t="s">
        <v>607</v>
      </c>
      <c r="O162" s="5" t="s">
        <v>19</v>
      </c>
      <c r="P162" s="5" t="s">
        <v>19</v>
      </c>
      <c r="Q162" s="5" t="s">
        <v>19</v>
      </c>
      <c r="R162" s="5" t="s">
        <v>19</v>
      </c>
      <c r="S162" s="5" t="s">
        <v>19</v>
      </c>
      <c r="T162" s="5" t="s">
        <v>19</v>
      </c>
      <c r="U162" s="5" t="s">
        <v>19</v>
      </c>
      <c r="V162" s="5" t="s">
        <v>19</v>
      </c>
      <c r="W162" s="5" t="s">
        <v>19</v>
      </c>
      <c r="X162" s="19">
        <f t="shared" si="0"/>
        <v>1.5429999999999999</v>
      </c>
    </row>
    <row r="163" spans="1:24">
      <c r="A163" t="s">
        <v>36</v>
      </c>
      <c r="B163" t="s">
        <v>19</v>
      </c>
      <c r="C163" t="s">
        <v>20</v>
      </c>
      <c r="D163" t="s">
        <v>51</v>
      </c>
      <c r="E163" t="s">
        <v>115</v>
      </c>
      <c r="F163" t="s">
        <v>19</v>
      </c>
      <c r="G163" t="s">
        <v>19</v>
      </c>
      <c r="H163" t="s">
        <v>19</v>
      </c>
      <c r="I163" t="s">
        <v>19</v>
      </c>
      <c r="J163" t="s">
        <v>19</v>
      </c>
      <c r="K163" s="21" t="str">
        <f>IF(X163&lt;=0.9,HYPERLINK("http://www.lxhausys.co.kr/popup/rn/download/downloadPopup.jsp?from=plwindow&amp;uu=/upload/window/REPORT/LGH-TW13-014.pdf","1등급"),IF(X163&lt;=1.2,HYPERLINK("http://www.lxhausys.co.kr/popup/rn/download/downloadPopup.jsp?from=plwindow&amp;uu=/upload/window/REPORT/LGH-TW13-014.pdf","2등급"),IF(X163&lt;=1.8,HYPERLINK("http://www.lxhausys.co.kr/popup/rn/download/downloadPopup.jsp?from=plwindow&amp;uu=/upload/window/REPORT/LGH-TW13-014.pdf","3등급"),IF(X163&lt;=2.3,HYPERLINK("http://www.lxhausys.co.kr/popup/rn/download/downloadPopup.jsp?from=plwindow&amp;uu=/upload/window/REPORT/LGH-TW13-014.pdf","4등급"),IF(X163&lt;=2.8,HYPERLINK("http://www.lxhausys.co.kr/popup/rn/download/downloadPopup.jsp?from=plwindow&amp;uu=/upload/window/REPORT/LGH-TW13-014.pdf","5등급"),HYPERLINK("http://www.lxhausys.co.kr/popup/rn/download/downloadPopup.jsp?from=plwindow&amp;uu=/upload/window/REPORT/LGH-TW13-014.pdf","등급외"))))))</f>
        <v>2등급</v>
      </c>
      <c r="L163" s="5">
        <v>1.159</v>
      </c>
      <c r="M163" s="5" t="s">
        <v>22</v>
      </c>
      <c r="N163" s="5" t="s">
        <v>607</v>
      </c>
      <c r="O163" s="5" t="s">
        <v>19</v>
      </c>
      <c r="P163" s="5" t="s">
        <v>19</v>
      </c>
      <c r="Q163" s="5" t="s">
        <v>19</v>
      </c>
      <c r="R163" s="5" t="s">
        <v>19</v>
      </c>
      <c r="S163" s="5" t="s">
        <v>19</v>
      </c>
      <c r="T163" s="5" t="s">
        <v>19</v>
      </c>
      <c r="U163" s="5" t="s">
        <v>19</v>
      </c>
      <c r="V163" s="5" t="s">
        <v>19</v>
      </c>
      <c r="W163" s="5" t="s">
        <v>19</v>
      </c>
      <c r="X163" s="19">
        <f t="shared" si="0"/>
        <v>1.159</v>
      </c>
    </row>
    <row r="164" spans="1:24">
      <c r="A164" t="s">
        <v>50</v>
      </c>
      <c r="B164" t="s">
        <v>19</v>
      </c>
      <c r="C164" t="s">
        <v>20</v>
      </c>
      <c r="D164" t="s">
        <v>116</v>
      </c>
      <c r="E164" t="s">
        <v>19</v>
      </c>
      <c r="F164" t="s">
        <v>19</v>
      </c>
      <c r="G164" t="s">
        <v>19</v>
      </c>
      <c r="H164" t="s">
        <v>19</v>
      </c>
      <c r="I164" t="s">
        <v>19</v>
      </c>
      <c r="J164" t="s">
        <v>19</v>
      </c>
      <c r="K164" s="21" t="str">
        <f>IF(X164&lt;=0.9,HYPERLINK("http://www.lxhausys.co.kr/popup/rn/download/downloadPopup.jsp?from=plwindow&amp;uu=/upload/window/REPORT/LGH-TW13-015.pdf","1등급"),IF(X164&lt;=1.2,HYPERLINK("http://www.lxhausys.co.kr/popup/rn/download/downloadPopup.jsp?from=plwindow&amp;uu=/upload/window/REPORT/LGH-TW13-015.pdf","2등급"),IF(X164&lt;=1.8,HYPERLINK("http://www.lxhausys.co.kr/popup/rn/download/downloadPopup.jsp?from=plwindow&amp;uu=/upload/window/REPORT/LGH-TW13-015.pdf","3등급"),IF(X164&lt;=2.3,HYPERLINK("http://www.lxhausys.co.kr/popup/rn/download/downloadPopup.jsp?from=plwindow&amp;uu=/upload/window/REPORT/LGH-TW13-015.pdf","4등급"),IF(X164&lt;=2.8,HYPERLINK("http://www.lxhausys.co.kr/popup/rn/download/downloadPopup.jsp?from=plwindow&amp;uu=/upload/window/REPORT/LGH-TW13-015.pdf","5등급"),HYPERLINK("http://www.lxhausys.co.kr/popup/rn/download/downloadPopup.jsp?from=plwindow&amp;uu=/upload/window/REPORT/LGH-TW13-015.pdf","등급외"))))))</f>
        <v>3등급</v>
      </c>
      <c r="L164" s="5">
        <v>1.2689999999999999</v>
      </c>
      <c r="M164" s="5" t="s">
        <v>22</v>
      </c>
      <c r="N164" s="5" t="s">
        <v>607</v>
      </c>
      <c r="O164" s="5" t="s">
        <v>19</v>
      </c>
      <c r="P164" s="5" t="s">
        <v>19</v>
      </c>
      <c r="Q164" s="5" t="s">
        <v>19</v>
      </c>
      <c r="R164" s="5" t="s">
        <v>19</v>
      </c>
      <c r="S164" s="5" t="s">
        <v>19</v>
      </c>
      <c r="T164" s="5" t="s">
        <v>19</v>
      </c>
      <c r="U164" s="5" t="s">
        <v>19</v>
      </c>
      <c r="V164" s="5" t="s">
        <v>19</v>
      </c>
      <c r="W164" s="5" t="s">
        <v>19</v>
      </c>
      <c r="X164" s="19">
        <f t="shared" si="0"/>
        <v>1.2689999999999999</v>
      </c>
    </row>
    <row r="165" spans="1:24">
      <c r="A165" t="s">
        <v>50</v>
      </c>
      <c r="B165" t="s">
        <v>19</v>
      </c>
      <c r="C165" t="s">
        <v>20</v>
      </c>
      <c r="D165" t="s">
        <v>117</v>
      </c>
      <c r="E165" t="s">
        <v>19</v>
      </c>
      <c r="F165" t="s">
        <v>19</v>
      </c>
      <c r="G165" t="s">
        <v>19</v>
      </c>
      <c r="H165" t="s">
        <v>19</v>
      </c>
      <c r="I165" t="s">
        <v>19</v>
      </c>
      <c r="J165" t="s">
        <v>19</v>
      </c>
      <c r="K165" s="21" t="str">
        <f>IF(X165&lt;=0.9,HYPERLINK("http://www.lxhausys.co.kr/popup/rn/download/downloadPopup.jsp?from=plwindow&amp;uu=/upload/window/REPORT/LGH-TW13-016.pdf","1등급"),IF(X165&lt;=1.2,HYPERLINK("http://www.lxhausys.co.kr/popup/rn/download/downloadPopup.jsp?from=plwindow&amp;uu=/upload/window/REPORT/LGH-TW13-016.pdf","2등급"),IF(X165&lt;=1.8,HYPERLINK("http://www.lxhausys.co.kr/popup/rn/download/downloadPopup.jsp?from=plwindow&amp;uu=/upload/window/REPORT/LGH-TW13-016.pdf","3등급"),IF(X165&lt;=2.3,HYPERLINK("http://www.lxhausys.co.kr/popup/rn/download/downloadPopup.jsp?from=plwindow&amp;uu=/upload/window/REPORT/LGH-TW13-016.pdf","4등급"),IF(X165&lt;=2.8,HYPERLINK("http://www.lxhausys.co.kr/popup/rn/download/downloadPopup.jsp?from=plwindow&amp;uu=/upload/window/REPORT/LGH-TW13-016.pdf","5등급"),HYPERLINK("http://www.lxhausys.co.kr/popup/rn/download/downloadPopup.jsp?from=plwindow&amp;uu=/upload/window/REPORT/LGH-TW13-016.pdf","등급외"))))))</f>
        <v>2등급</v>
      </c>
      <c r="L165" s="5">
        <v>0.91</v>
      </c>
      <c r="M165" s="5" t="s">
        <v>22</v>
      </c>
      <c r="N165" s="5" t="s">
        <v>607</v>
      </c>
      <c r="O165" s="5" t="s">
        <v>19</v>
      </c>
      <c r="P165" s="5" t="s">
        <v>19</v>
      </c>
      <c r="Q165" s="5" t="s">
        <v>19</v>
      </c>
      <c r="R165" s="5" t="s">
        <v>19</v>
      </c>
      <c r="S165" s="5" t="s">
        <v>19</v>
      </c>
      <c r="T165" s="5" t="s">
        <v>19</v>
      </c>
      <c r="U165" s="5" t="s">
        <v>19</v>
      </c>
      <c r="V165" s="5" t="s">
        <v>19</v>
      </c>
      <c r="W165" s="5" t="s">
        <v>19</v>
      </c>
      <c r="X165" s="19">
        <f t="shared" si="0"/>
        <v>0.91</v>
      </c>
    </row>
    <row r="166" spans="1:24">
      <c r="A166" t="s">
        <v>50</v>
      </c>
      <c r="B166" t="s">
        <v>19</v>
      </c>
      <c r="C166" t="s">
        <v>20</v>
      </c>
      <c r="D166" t="s">
        <v>40</v>
      </c>
      <c r="E166" t="s">
        <v>19</v>
      </c>
      <c r="F166" t="s">
        <v>19</v>
      </c>
      <c r="G166" t="s">
        <v>19</v>
      </c>
      <c r="H166" t="s">
        <v>19</v>
      </c>
      <c r="I166" t="s">
        <v>19</v>
      </c>
      <c r="J166" t="s">
        <v>19</v>
      </c>
      <c r="K166" s="21" t="str">
        <f>IF(X166&lt;=0.9,HYPERLINK("http://www.lxhausys.co.kr/popup/rn/download/downloadPopup.jsp?from=plwindow&amp;uu=/upload/window/REPORT/LGH-TW13-017.pdf","1등급"),IF(X166&lt;=1.2,HYPERLINK("http://www.lxhausys.co.kr/popup/rn/download/downloadPopup.jsp?from=plwindow&amp;uu=/upload/window/REPORT/LGH-TW13-017.pdf","2등급"),IF(X166&lt;=1.8,HYPERLINK("http://www.lxhausys.co.kr/popup/rn/download/downloadPopup.jsp?from=plwindow&amp;uu=/upload/window/REPORT/LGH-TW13-017.pdf","3등급"),IF(X166&lt;=2.3,HYPERLINK("http://www.lxhausys.co.kr/popup/rn/download/downloadPopup.jsp?from=plwindow&amp;uu=/upload/window/REPORT/LGH-TW13-017.pdf","4등급"),IF(X166&lt;=2.8,HYPERLINK("http://www.lxhausys.co.kr/popup/rn/download/downloadPopup.jsp?from=plwindow&amp;uu=/upload/window/REPORT/LGH-TW13-017.pdf","5등급"),HYPERLINK("http://www.lxhausys.co.kr/popup/rn/download/downloadPopup.jsp?from=plwindow&amp;uu=/upload/window/REPORT/LGH-TW13-017.pdf","등급외"))))))</f>
        <v>2등급</v>
      </c>
      <c r="L166" s="5">
        <v>1.028</v>
      </c>
      <c r="M166" s="5" t="s">
        <v>22</v>
      </c>
      <c r="N166" s="5" t="s">
        <v>607</v>
      </c>
      <c r="O166" s="5" t="s">
        <v>19</v>
      </c>
      <c r="P166" s="5" t="s">
        <v>19</v>
      </c>
      <c r="Q166" s="5" t="s">
        <v>19</v>
      </c>
      <c r="R166" s="5" t="s">
        <v>19</v>
      </c>
      <c r="S166" s="5" t="s">
        <v>19</v>
      </c>
      <c r="T166" s="5" t="s">
        <v>19</v>
      </c>
      <c r="U166" s="5" t="s">
        <v>19</v>
      </c>
      <c r="V166" s="5" t="s">
        <v>19</v>
      </c>
      <c r="W166" s="5" t="s">
        <v>19</v>
      </c>
      <c r="X166" s="19">
        <f t="shared" si="0"/>
        <v>1.028</v>
      </c>
    </row>
    <row r="167" spans="1:24">
      <c r="A167" t="s">
        <v>36</v>
      </c>
      <c r="B167" t="s">
        <v>19</v>
      </c>
      <c r="C167" t="s">
        <v>20</v>
      </c>
      <c r="D167" t="s">
        <v>37</v>
      </c>
      <c r="E167" t="s">
        <v>115</v>
      </c>
      <c r="F167" t="s">
        <v>19</v>
      </c>
      <c r="G167" t="s">
        <v>19</v>
      </c>
      <c r="H167" t="s">
        <v>19</v>
      </c>
      <c r="I167" t="s">
        <v>19</v>
      </c>
      <c r="J167" t="s">
        <v>19</v>
      </c>
      <c r="K167" s="21" t="str">
        <f>IF(X167&lt;=0.9,HYPERLINK("http://www.lxhausys.co.kr/popup/rn/download/downloadPopup.jsp?from=plwindow&amp;uu=/upload/window/REPORT/LGH-TW13-018.pdf","1등급"),IF(X167&lt;=1.2,HYPERLINK("http://www.lxhausys.co.kr/popup/rn/download/downloadPopup.jsp?from=plwindow&amp;uu=/upload/window/REPORT/LGH-TW13-018.pdf","2등급"),IF(X167&lt;=1.8,HYPERLINK("http://www.lxhausys.co.kr/popup/rn/download/downloadPopup.jsp?from=plwindow&amp;uu=/upload/window/REPORT/LGH-TW13-018.pdf","3등급"),IF(X167&lt;=2.3,HYPERLINK("http://www.lxhausys.co.kr/popup/rn/download/downloadPopup.jsp?from=plwindow&amp;uu=/upload/window/REPORT/LGH-TW13-018.pdf","4등급"),IF(X167&lt;=2.8,HYPERLINK("http://www.lxhausys.co.kr/popup/rn/download/downloadPopup.jsp?from=plwindow&amp;uu=/upload/window/REPORT/LGH-TW13-018.pdf","5등급"),HYPERLINK("http://www.lxhausys.co.kr/popup/rn/download/downloadPopup.jsp?from=plwindow&amp;uu=/upload/window/REPORT/LGH-TW13-018.pdf","등급외"))))))</f>
        <v>3등급</v>
      </c>
      <c r="L167" s="5">
        <v>1.3120000000000001</v>
      </c>
      <c r="M167" s="5" t="s">
        <v>22</v>
      </c>
      <c r="N167" s="5" t="s">
        <v>607</v>
      </c>
      <c r="O167" s="5" t="s">
        <v>19</v>
      </c>
      <c r="P167" s="5" t="s">
        <v>19</v>
      </c>
      <c r="Q167" s="5" t="s">
        <v>19</v>
      </c>
      <c r="R167" s="5" t="s">
        <v>19</v>
      </c>
      <c r="S167" s="5" t="s">
        <v>19</v>
      </c>
      <c r="T167" s="5" t="s">
        <v>19</v>
      </c>
      <c r="U167" s="5" t="s">
        <v>19</v>
      </c>
      <c r="V167" s="5" t="s">
        <v>19</v>
      </c>
      <c r="W167" s="5" t="s">
        <v>19</v>
      </c>
      <c r="X167" s="19">
        <f t="shared" si="0"/>
        <v>1.3120000000000001</v>
      </c>
    </row>
    <row r="168" spans="1:24">
      <c r="A168" t="s">
        <v>19</v>
      </c>
      <c r="B168" t="s">
        <v>49</v>
      </c>
      <c r="C168" t="s">
        <v>20</v>
      </c>
      <c r="D168" t="s">
        <v>28</v>
      </c>
      <c r="E168" t="s">
        <v>19</v>
      </c>
      <c r="F168" t="s">
        <v>19</v>
      </c>
      <c r="G168" t="s">
        <v>19</v>
      </c>
      <c r="H168" t="s">
        <v>19</v>
      </c>
      <c r="I168" t="s">
        <v>19</v>
      </c>
      <c r="J168" t="s">
        <v>19</v>
      </c>
      <c r="K168" s="21" t="str">
        <f>IF(X168&lt;=0.9,HYPERLINK("http://www.lxhausys.co.kr/popup/rn/download/downloadPopup.jsp?from=plwindow&amp;uu=/upload/window/REPORT/LGH-TW13-019.pdf","1등급"),IF(X168&lt;=1.2,HYPERLINK("http://www.lxhausys.co.kr/popup/rn/download/downloadPopup.jsp?from=plwindow&amp;uu=/upload/window/REPORT/LGH-TW13-019.pdf","2등급"),IF(X168&lt;=1.8,HYPERLINK("http://www.lxhausys.co.kr/popup/rn/download/downloadPopup.jsp?from=plwindow&amp;uu=/upload/window/REPORT/LGH-TW13-019.pdf","3등급"),IF(X168&lt;=2.3,HYPERLINK("http://www.lxhausys.co.kr/popup/rn/download/downloadPopup.jsp?from=plwindow&amp;uu=/upload/window/REPORT/LGH-TW13-019.pdf","4등급"),IF(X168&lt;=2.8,HYPERLINK("http://www.lxhausys.co.kr/popup/rn/download/downloadPopup.jsp?from=plwindow&amp;uu=/upload/window/REPORT/LGH-TW13-019.pdf","5등급"),HYPERLINK("http://www.lxhausys.co.kr/popup/rn/download/downloadPopup.jsp?from=plwindow&amp;uu=/upload/window/REPORT/LGH-TW13-019.pdf","등급외"))))))</f>
        <v>4등급</v>
      </c>
      <c r="L168" s="5">
        <v>1.976</v>
      </c>
      <c r="M168" s="5" t="s">
        <v>103</v>
      </c>
      <c r="N168" s="5" t="s">
        <v>607</v>
      </c>
      <c r="O168" s="5" t="s">
        <v>19</v>
      </c>
      <c r="P168" s="5" t="s">
        <v>19</v>
      </c>
      <c r="Q168" s="5" t="s">
        <v>19</v>
      </c>
      <c r="R168" s="5" t="s">
        <v>19</v>
      </c>
      <c r="S168" s="5" t="s">
        <v>19</v>
      </c>
      <c r="T168" s="5" t="s">
        <v>19</v>
      </c>
      <c r="U168" s="5" t="s">
        <v>19</v>
      </c>
      <c r="V168" s="5" t="s">
        <v>19</v>
      </c>
      <c r="W168" s="5" t="s">
        <v>19</v>
      </c>
      <c r="X168" s="19">
        <f t="shared" si="0"/>
        <v>1.976</v>
      </c>
    </row>
    <row r="169" spans="1:24">
      <c r="A169" t="s">
        <v>19</v>
      </c>
      <c r="B169" t="s">
        <v>48</v>
      </c>
      <c r="C169" t="s">
        <v>20</v>
      </c>
      <c r="D169" t="s">
        <v>28</v>
      </c>
      <c r="E169" t="s">
        <v>19</v>
      </c>
      <c r="F169" t="s">
        <v>19</v>
      </c>
      <c r="G169" t="s">
        <v>19</v>
      </c>
      <c r="H169" t="s">
        <v>25</v>
      </c>
      <c r="I169" t="s">
        <v>19</v>
      </c>
      <c r="J169" t="s">
        <v>19</v>
      </c>
      <c r="K169" s="21" t="str">
        <f>IF(X169&lt;=0.9,HYPERLINK("http://www.lxhausys.co.kr/popup/rn/download/downloadPopup.jsp?from=plwindow&amp;uu=/upload/window/REPORT/LGH-TW13-020.pdf","1등급"),IF(X169&lt;=1.2,HYPERLINK("http://www.lxhausys.co.kr/popup/rn/download/downloadPopup.jsp?from=plwindow&amp;uu=/upload/window/REPORT/LGH-TW13-020.pdf","2등급"),IF(X169&lt;=1.8,HYPERLINK("http://www.lxhausys.co.kr/popup/rn/download/downloadPopup.jsp?from=plwindow&amp;uu=/upload/window/REPORT/LGH-TW13-020.pdf","3등급"),IF(X169&lt;=2.3,HYPERLINK("http://www.lxhausys.co.kr/popup/rn/download/downloadPopup.jsp?from=plwindow&amp;uu=/upload/window/REPORT/LGH-TW13-020.pdf","4등급"),IF(X169&lt;=2.8,HYPERLINK("http://www.lxhausys.co.kr/popup/rn/download/downloadPopup.jsp?from=plwindow&amp;uu=/upload/window/REPORT/LGH-TW13-020.pdf","5등급"),HYPERLINK("http://www.lxhausys.co.kr/popup/rn/download/downloadPopup.jsp?from=plwindow&amp;uu=/upload/window/REPORT/LGH-TW13-020.pdf","등급외"))))))</f>
        <v>2등급</v>
      </c>
      <c r="L169" s="5">
        <v>1.006</v>
      </c>
      <c r="M169" s="5" t="s">
        <v>22</v>
      </c>
      <c r="N169" s="5" t="s">
        <v>607</v>
      </c>
      <c r="O169" s="5" t="s">
        <v>19</v>
      </c>
      <c r="P169" s="5" t="s">
        <v>19</v>
      </c>
      <c r="Q169" s="5" t="s">
        <v>19</v>
      </c>
      <c r="R169" s="5" t="s">
        <v>19</v>
      </c>
      <c r="S169" s="5" t="s">
        <v>19</v>
      </c>
      <c r="T169" s="5" t="s">
        <v>19</v>
      </c>
      <c r="U169" s="5" t="s">
        <v>19</v>
      </c>
      <c r="V169" s="5" t="s">
        <v>19</v>
      </c>
      <c r="W169" s="5" t="s">
        <v>19</v>
      </c>
      <c r="X169" s="19">
        <f t="shared" si="0"/>
        <v>1.006</v>
      </c>
    </row>
    <row r="170" spans="1:24">
      <c r="A170" t="s">
        <v>55</v>
      </c>
      <c r="B170" t="s">
        <v>19</v>
      </c>
      <c r="C170" t="s">
        <v>20</v>
      </c>
      <c r="D170" t="s">
        <v>32</v>
      </c>
      <c r="E170" t="s">
        <v>19</v>
      </c>
      <c r="F170" t="s">
        <v>19</v>
      </c>
      <c r="G170" t="s">
        <v>19</v>
      </c>
      <c r="H170" t="s">
        <v>19</v>
      </c>
      <c r="I170" t="s">
        <v>19</v>
      </c>
      <c r="J170" t="s">
        <v>19</v>
      </c>
      <c r="K170" s="21" t="str">
        <f>IF(X170&lt;=0.9,HYPERLINK("http://www.lxhausys.co.kr/popup/rn/download/downloadPopup.jsp?from=plwindow&amp;uu=/upload/window/REPORT/LGH-TW13-024.pdf","1등급"),IF(X170&lt;=1.2,HYPERLINK("http://www.lxhausys.co.kr/popup/rn/download/downloadPopup.jsp?from=plwindow&amp;uu=/upload/window/REPORT/LGH-TW13-024.pdf","2등급"),IF(X170&lt;=1.8,HYPERLINK("http://www.lxhausys.co.kr/popup/rn/download/downloadPopup.jsp?from=plwindow&amp;uu=/upload/window/REPORT/LGH-TW13-024.pdf","3등급"),IF(X170&lt;=2.3,HYPERLINK("http://www.lxhausys.co.kr/popup/rn/download/downloadPopup.jsp?from=plwindow&amp;uu=/upload/window/REPORT/LGH-TW13-024.pdf","4등급"),IF(X170&lt;=2.8,HYPERLINK("http://www.lxhausys.co.kr/popup/rn/download/downloadPopup.jsp?from=plwindow&amp;uu=/upload/window/REPORT/LGH-TW13-024.pdf","5등급"),HYPERLINK("http://www.lxhausys.co.kr/popup/rn/download/downloadPopup.jsp?from=plwindow&amp;uu=/upload/window/REPORT/LGH-TW13-024.pdf","등급외"))))))</f>
        <v>5등급</v>
      </c>
      <c r="L170" s="5">
        <v>2.488</v>
      </c>
      <c r="M170" s="5" t="s">
        <v>22</v>
      </c>
      <c r="N170" s="5" t="s">
        <v>607</v>
      </c>
      <c r="O170" s="5" t="s">
        <v>19</v>
      </c>
      <c r="P170" s="5" t="s">
        <v>19</v>
      </c>
      <c r="Q170" s="5" t="s">
        <v>19</v>
      </c>
      <c r="R170" s="5" t="s">
        <v>19</v>
      </c>
      <c r="S170" s="5" t="s">
        <v>19</v>
      </c>
      <c r="T170" s="5" t="s">
        <v>19</v>
      </c>
      <c r="U170" s="5" t="s">
        <v>19</v>
      </c>
      <c r="V170" s="5" t="s">
        <v>19</v>
      </c>
      <c r="W170" s="5" t="s">
        <v>19</v>
      </c>
      <c r="X170" s="19">
        <f t="shared" si="0"/>
        <v>2.488</v>
      </c>
    </row>
    <row r="171" spans="1:24">
      <c r="A171" t="s">
        <v>55</v>
      </c>
      <c r="B171" t="s">
        <v>19</v>
      </c>
      <c r="C171" t="s">
        <v>20</v>
      </c>
      <c r="D171" t="s">
        <v>105</v>
      </c>
      <c r="E171" t="s">
        <v>19</v>
      </c>
      <c r="F171" t="s">
        <v>19</v>
      </c>
      <c r="G171" t="s">
        <v>19</v>
      </c>
      <c r="H171" t="s">
        <v>19</v>
      </c>
      <c r="I171" t="s">
        <v>19</v>
      </c>
      <c r="J171" t="s">
        <v>19</v>
      </c>
      <c r="K171" s="21" t="str">
        <f>IF(X171&lt;=0.9,HYPERLINK("http://www.lxhausys.co.kr/popup/rn/download/downloadPopup.jsp?from=plwindow&amp;uu=/upload/window/REPORT/LGH-TW13-025.pdf","1등급"),IF(X171&lt;=1.2,HYPERLINK("http://www.lxhausys.co.kr/popup/rn/download/downloadPopup.jsp?from=plwindow&amp;uu=/upload/window/REPORT/LGH-TW13-025.pdf","2등급"),IF(X171&lt;=1.8,HYPERLINK("http://www.lxhausys.co.kr/popup/rn/download/downloadPopup.jsp?from=plwindow&amp;uu=/upload/window/REPORT/LGH-TW13-025.pdf","3등급"),IF(X171&lt;=2.3,HYPERLINK("http://www.lxhausys.co.kr/popup/rn/download/downloadPopup.jsp?from=plwindow&amp;uu=/upload/window/REPORT/LGH-TW13-025.pdf","4등급"),IF(X171&lt;=2.8,HYPERLINK("http://www.lxhausys.co.kr/popup/rn/download/downloadPopup.jsp?from=plwindow&amp;uu=/upload/window/REPORT/LGH-TW13-025.pdf","5등급"),HYPERLINK("http://www.lxhausys.co.kr/popup/rn/download/downloadPopup.jsp?from=plwindow&amp;uu=/upload/window/REPORT/LGH-TW13-025.pdf","등급외"))))))</f>
        <v>3등급</v>
      </c>
      <c r="L171" s="5">
        <v>1.631</v>
      </c>
      <c r="M171" s="5" t="s">
        <v>22</v>
      </c>
      <c r="N171" s="5" t="s">
        <v>607</v>
      </c>
      <c r="O171" s="5" t="s">
        <v>19</v>
      </c>
      <c r="P171" s="5" t="s">
        <v>19</v>
      </c>
      <c r="Q171" s="5" t="s">
        <v>19</v>
      </c>
      <c r="R171" s="5" t="s">
        <v>19</v>
      </c>
      <c r="S171" s="5" t="s">
        <v>19</v>
      </c>
      <c r="T171" s="5" t="s">
        <v>19</v>
      </c>
      <c r="U171" s="5" t="s">
        <v>19</v>
      </c>
      <c r="V171" s="5" t="s">
        <v>19</v>
      </c>
      <c r="W171" s="5" t="s">
        <v>19</v>
      </c>
      <c r="X171" s="19">
        <f t="shared" si="0"/>
        <v>1.631</v>
      </c>
    </row>
    <row r="172" spans="1:24">
      <c r="A172" t="s">
        <v>50</v>
      </c>
      <c r="B172" t="s">
        <v>19</v>
      </c>
      <c r="C172" t="s">
        <v>20</v>
      </c>
      <c r="D172" t="s">
        <v>118</v>
      </c>
      <c r="E172" t="s">
        <v>19</v>
      </c>
      <c r="F172" t="s">
        <v>19</v>
      </c>
      <c r="G172" t="s">
        <v>19</v>
      </c>
      <c r="H172" t="s">
        <v>19</v>
      </c>
      <c r="I172" t="s">
        <v>19</v>
      </c>
      <c r="J172" t="s">
        <v>19</v>
      </c>
      <c r="K172" s="21" t="str">
        <f>IF(X172&lt;=0.9,HYPERLINK("http://www.lxhausys.co.kr/popup/rn/download/downloadPopup.jsp?from=plwindow&amp;uu=/upload/window/REPORT/LGH-TW13-040.pdf","1등급"),IF(X172&lt;=1.2,HYPERLINK("http://www.lxhausys.co.kr/popup/rn/download/downloadPopup.jsp?from=plwindow&amp;uu=/upload/window/REPORT/LGH-TW13-040.pdf","2등급"),IF(X172&lt;=1.8,HYPERLINK("http://www.lxhausys.co.kr/popup/rn/download/downloadPopup.jsp?from=plwindow&amp;uu=/upload/window/REPORT/LGH-TW13-040.pdf","3등급"),IF(X172&lt;=2.3,HYPERLINK("http://www.lxhausys.co.kr/popup/rn/download/downloadPopup.jsp?from=plwindow&amp;uu=/upload/window/REPORT/LGH-TW13-040.pdf","4등급"),IF(X172&lt;=2.8,HYPERLINK("http://www.lxhausys.co.kr/popup/rn/download/downloadPopup.jsp?from=plwindow&amp;uu=/upload/window/REPORT/LGH-TW13-040.pdf","5등급"),HYPERLINK("http://www.lxhausys.co.kr/popup/rn/download/downloadPopup.jsp?from=plwindow&amp;uu=/upload/window/REPORT/LGH-TW13-040.pdf","등급외"))))))</f>
        <v>2등급</v>
      </c>
      <c r="L172" s="5">
        <v>0.97199999999999998</v>
      </c>
      <c r="M172" s="5" t="s">
        <v>22</v>
      </c>
      <c r="N172" s="5" t="s">
        <v>607</v>
      </c>
      <c r="O172" s="5" t="s">
        <v>19</v>
      </c>
      <c r="P172" s="5" t="s">
        <v>19</v>
      </c>
      <c r="Q172" s="5" t="s">
        <v>19</v>
      </c>
      <c r="R172" s="5" t="s">
        <v>19</v>
      </c>
      <c r="S172" s="5" t="s">
        <v>19</v>
      </c>
      <c r="T172" s="5" t="s">
        <v>19</v>
      </c>
      <c r="U172" s="5" t="s">
        <v>19</v>
      </c>
      <c r="V172" s="5" t="s">
        <v>19</v>
      </c>
      <c r="W172" s="5" t="s">
        <v>19</v>
      </c>
      <c r="X172" s="19">
        <f t="shared" si="0"/>
        <v>0.97199999999999998</v>
      </c>
    </row>
    <row r="173" spans="1:24">
      <c r="A173" t="s">
        <v>119</v>
      </c>
      <c r="B173" t="s">
        <v>19</v>
      </c>
      <c r="C173" t="s">
        <v>20</v>
      </c>
      <c r="D173" t="s">
        <v>28</v>
      </c>
      <c r="E173" t="s">
        <v>96</v>
      </c>
      <c r="F173" t="s">
        <v>19</v>
      </c>
      <c r="G173" t="s">
        <v>19</v>
      </c>
      <c r="H173" t="s">
        <v>26</v>
      </c>
      <c r="I173" t="s">
        <v>19</v>
      </c>
      <c r="J173" t="s">
        <v>19</v>
      </c>
      <c r="K173" s="21" t="str">
        <f>IF(X173&lt;=0.9,HYPERLINK("http://www.lxhausys.co.kr/popup/rn/download/downloadPopup.jsp?from=plwindow&amp;uu=/upload/window/REPORT/LGH-TW13-041.pdf","1등급"),IF(X173&lt;=1.2,HYPERLINK("http://www.lxhausys.co.kr/popup/rn/download/downloadPopup.jsp?from=plwindow&amp;uu=/upload/window/REPORT/LGH-TW13-041.pdf","2등급"),IF(X173&lt;=1.8,HYPERLINK("http://www.lxhausys.co.kr/popup/rn/download/downloadPopup.jsp?from=plwindow&amp;uu=/upload/window/REPORT/LGH-TW13-041.pdf","3등급"),IF(X173&lt;=2.3,HYPERLINK("http://www.lxhausys.co.kr/popup/rn/download/downloadPopup.jsp?from=plwindow&amp;uu=/upload/window/REPORT/LGH-TW13-041.pdf","4등급"),IF(X173&lt;=2.8,HYPERLINK("http://www.lxhausys.co.kr/popup/rn/download/downloadPopup.jsp?from=plwindow&amp;uu=/upload/window/REPORT/LGH-TW13-041.pdf","5등급"),HYPERLINK("http://www.lxhausys.co.kr/popup/rn/download/downloadPopup.jsp?from=plwindow&amp;uu=/upload/window/REPORT/LGH-TW13-041.pdf","등급외"))))))</f>
        <v>2등급</v>
      </c>
      <c r="L173" s="5">
        <v>0.91200000000000003</v>
      </c>
      <c r="M173" s="5" t="s">
        <v>22</v>
      </c>
      <c r="N173" s="5" t="s">
        <v>607</v>
      </c>
      <c r="O173" s="5" t="s">
        <v>19</v>
      </c>
      <c r="P173" s="5" t="s">
        <v>19</v>
      </c>
      <c r="Q173" s="5" t="s">
        <v>19</v>
      </c>
      <c r="R173" s="5" t="s">
        <v>19</v>
      </c>
      <c r="S173" s="5" t="s">
        <v>19</v>
      </c>
      <c r="T173" s="5" t="s">
        <v>19</v>
      </c>
      <c r="U173" s="5" t="s">
        <v>19</v>
      </c>
      <c r="V173" s="5" t="s">
        <v>19</v>
      </c>
      <c r="W173" s="5" t="s">
        <v>19</v>
      </c>
      <c r="X173" s="19">
        <f t="shared" si="0"/>
        <v>0.91200000000000003</v>
      </c>
    </row>
    <row r="174" spans="1:24">
      <c r="A174" t="s">
        <v>119</v>
      </c>
      <c r="B174" t="s">
        <v>19</v>
      </c>
      <c r="C174" t="s">
        <v>20</v>
      </c>
      <c r="D174" t="s">
        <v>28</v>
      </c>
      <c r="E174" t="s">
        <v>96</v>
      </c>
      <c r="F174" t="s">
        <v>19</v>
      </c>
      <c r="G174" t="s">
        <v>19</v>
      </c>
      <c r="H174" t="s">
        <v>120</v>
      </c>
      <c r="I174" t="s">
        <v>19</v>
      </c>
      <c r="J174" t="s">
        <v>19</v>
      </c>
      <c r="K174" s="21" t="str">
        <f>IF(X174&lt;=0.9,HYPERLINK("http://www.lxhausys.co.kr/popup/rn/download/downloadPopup.jsp?from=plwindow&amp;uu=/upload/window/REPORT/LGH-TW13-042.pdf","1등급"),IF(X174&lt;=1.2,HYPERLINK("http://www.lxhausys.co.kr/popup/rn/download/downloadPopup.jsp?from=plwindow&amp;uu=/upload/window/REPORT/LGH-TW13-042.pdf","2등급"),IF(X174&lt;=1.8,HYPERLINK("http://www.lxhausys.co.kr/popup/rn/download/downloadPopup.jsp?from=plwindow&amp;uu=/upload/window/REPORT/LGH-TW13-042.pdf","3등급"),IF(X174&lt;=2.3,HYPERLINK("http://www.lxhausys.co.kr/popup/rn/download/downloadPopup.jsp?from=plwindow&amp;uu=/upload/window/REPORT/LGH-TW13-042.pdf","4등급"),IF(X174&lt;=2.8,HYPERLINK("http://www.lxhausys.co.kr/popup/rn/download/downloadPopup.jsp?from=plwindow&amp;uu=/upload/window/REPORT/LGH-TW13-042.pdf","5등급"),HYPERLINK("http://www.lxhausys.co.kr/popup/rn/download/downloadPopup.jsp?from=plwindow&amp;uu=/upload/window/REPORT/LGH-TW13-042.pdf","등급외"))))))</f>
        <v>1등급</v>
      </c>
      <c r="L174" s="5">
        <v>0.65300000000000002</v>
      </c>
      <c r="M174" s="5" t="s">
        <v>22</v>
      </c>
      <c r="N174" s="5" t="s">
        <v>607</v>
      </c>
      <c r="O174" s="5" t="s">
        <v>19</v>
      </c>
      <c r="P174" s="5" t="s">
        <v>19</v>
      </c>
      <c r="Q174" s="5" t="s">
        <v>19</v>
      </c>
      <c r="R174" s="5" t="s">
        <v>19</v>
      </c>
      <c r="S174" s="5" t="s">
        <v>19</v>
      </c>
      <c r="T174" s="5" t="s">
        <v>19</v>
      </c>
      <c r="U174" s="5" t="s">
        <v>19</v>
      </c>
      <c r="V174" s="5" t="s">
        <v>19</v>
      </c>
      <c r="W174" s="5" t="s">
        <v>19</v>
      </c>
      <c r="X174" s="19">
        <f t="shared" si="0"/>
        <v>0.65300000000000002</v>
      </c>
    </row>
    <row r="175" spans="1:24">
      <c r="A175" t="s">
        <v>19</v>
      </c>
      <c r="B175" t="s">
        <v>48</v>
      </c>
      <c r="C175" t="s">
        <v>20</v>
      </c>
      <c r="D175" t="s">
        <v>41</v>
      </c>
      <c r="E175" t="s">
        <v>19</v>
      </c>
      <c r="F175" t="s">
        <v>19</v>
      </c>
      <c r="G175" t="s">
        <v>19</v>
      </c>
      <c r="H175" t="s">
        <v>41</v>
      </c>
      <c r="I175" t="s">
        <v>19</v>
      </c>
      <c r="J175" t="s">
        <v>19</v>
      </c>
      <c r="K175" s="21" t="str">
        <f>IF(X175&lt;=0.9,HYPERLINK("http://www.lxhausys.co.kr/popup/rn/download/downloadPopup.jsp?from=plwindow&amp;uu=/upload/window/REPORT/LGH-TW13-044.pdf","1등급"),IF(X175&lt;=1.2,HYPERLINK("http://www.lxhausys.co.kr/popup/rn/download/downloadPopup.jsp?from=plwindow&amp;uu=/upload/window/REPORT/LGH-TW13-044.pdf","2등급"),IF(X175&lt;=1.8,HYPERLINK("http://www.lxhausys.co.kr/popup/rn/download/downloadPopup.jsp?from=plwindow&amp;uu=/upload/window/REPORT/LGH-TW13-044.pdf","3등급"),IF(X175&lt;=2.3,HYPERLINK("http://www.lxhausys.co.kr/popup/rn/download/downloadPopup.jsp?from=plwindow&amp;uu=/upload/window/REPORT/LGH-TW13-044.pdf","4등급"),IF(X175&lt;=2.8,HYPERLINK("http://www.lxhausys.co.kr/popup/rn/download/downloadPopup.jsp?from=plwindow&amp;uu=/upload/window/REPORT/LGH-TW13-044.pdf","5등급"),HYPERLINK("http://www.lxhausys.co.kr/popup/rn/download/downloadPopup.jsp?from=plwindow&amp;uu=/upload/window/REPORT/LGH-TW13-044.pdf","등급외"))))))</f>
        <v>3등급</v>
      </c>
      <c r="L175" s="5">
        <v>1.274</v>
      </c>
      <c r="M175" s="5" t="s">
        <v>22</v>
      </c>
      <c r="N175" s="5" t="s">
        <v>607</v>
      </c>
      <c r="O175" s="5" t="s">
        <v>19</v>
      </c>
      <c r="P175" s="5" t="s">
        <v>19</v>
      </c>
      <c r="Q175" s="5" t="s">
        <v>19</v>
      </c>
      <c r="R175" s="5" t="s">
        <v>19</v>
      </c>
      <c r="S175" s="5" t="s">
        <v>19</v>
      </c>
      <c r="T175" s="5" t="s">
        <v>19</v>
      </c>
      <c r="U175" s="5" t="s">
        <v>19</v>
      </c>
      <c r="V175" s="5" t="s">
        <v>19</v>
      </c>
      <c r="W175" s="5" t="s">
        <v>19</v>
      </c>
      <c r="X175" s="19">
        <f t="shared" si="0"/>
        <v>1.274</v>
      </c>
    </row>
    <row r="176" spans="1:24">
      <c r="A176" t="s">
        <v>30</v>
      </c>
      <c r="B176" t="s">
        <v>19</v>
      </c>
      <c r="C176" t="s">
        <v>20</v>
      </c>
      <c r="D176" t="s">
        <v>25</v>
      </c>
      <c r="E176" t="s">
        <v>19</v>
      </c>
      <c r="F176" t="s">
        <v>19</v>
      </c>
      <c r="G176" t="s">
        <v>19</v>
      </c>
      <c r="H176" t="s">
        <v>64</v>
      </c>
      <c r="I176" t="s">
        <v>19</v>
      </c>
      <c r="J176" t="s">
        <v>19</v>
      </c>
      <c r="K176" s="21" t="str">
        <f>IF(X176&lt;=0.9,HYPERLINK("http://www.lxhausys.co.kr/popup/rn/download/downloadPopup.jsp?from=plwindow&amp;uu=/upload/window/REPORT/LGH-TW13-049.pdf","1등급"),IF(X176&lt;=1.2,HYPERLINK("http://www.lxhausys.co.kr/popup/rn/download/downloadPopup.jsp?from=plwindow&amp;uu=/upload/window/REPORT/LGH-TW13-049.pdf","2등급"),IF(X176&lt;=1.8,HYPERLINK("http://www.lxhausys.co.kr/popup/rn/download/downloadPopup.jsp?from=plwindow&amp;uu=/upload/window/REPORT/LGH-TW13-049.pdf","3등급"),IF(X176&lt;=2.3,HYPERLINK("http://www.lxhausys.co.kr/popup/rn/download/downloadPopup.jsp?from=plwindow&amp;uu=/upload/window/REPORT/LGH-TW13-049.pdf","4등급"),IF(X176&lt;=2.8,HYPERLINK("http://www.lxhausys.co.kr/popup/rn/download/downloadPopup.jsp?from=plwindow&amp;uu=/upload/window/REPORT/LGH-TW13-049.pdf","5등급"),HYPERLINK("http://www.lxhausys.co.kr/popup/rn/download/downloadPopup.jsp?from=plwindow&amp;uu=/upload/window/REPORT/LGH-TW13-049.pdf","등급외"))))))</f>
        <v>2등급</v>
      </c>
      <c r="L176" s="5">
        <v>0.93400000000000005</v>
      </c>
      <c r="M176" s="5" t="s">
        <v>22</v>
      </c>
      <c r="N176" s="5" t="s">
        <v>607</v>
      </c>
      <c r="O176" s="5" t="s">
        <v>19</v>
      </c>
      <c r="P176" s="5" t="s">
        <v>19</v>
      </c>
      <c r="Q176" s="5" t="s">
        <v>19</v>
      </c>
      <c r="R176" s="5" t="s">
        <v>19</v>
      </c>
      <c r="S176" s="5" t="s">
        <v>19</v>
      </c>
      <c r="T176" s="5" t="s">
        <v>19</v>
      </c>
      <c r="U176" s="5" t="s">
        <v>19</v>
      </c>
      <c r="V176" s="5" t="s">
        <v>19</v>
      </c>
      <c r="W176" s="5" t="s">
        <v>19</v>
      </c>
      <c r="X176" s="19">
        <f t="shared" si="0"/>
        <v>0.93400000000000005</v>
      </c>
    </row>
    <row r="177" spans="1:24">
      <c r="A177" t="s">
        <v>30</v>
      </c>
      <c r="B177" t="s">
        <v>19</v>
      </c>
      <c r="C177" t="s">
        <v>20</v>
      </c>
      <c r="D177" t="s">
        <v>25</v>
      </c>
      <c r="E177" t="s">
        <v>19</v>
      </c>
      <c r="F177" t="s">
        <v>19</v>
      </c>
      <c r="G177" t="s">
        <v>19</v>
      </c>
      <c r="H177" t="s">
        <v>121</v>
      </c>
      <c r="I177" t="s">
        <v>19</v>
      </c>
      <c r="J177" t="s">
        <v>19</v>
      </c>
      <c r="K177" s="21" t="str">
        <f>IF(X177&lt;=0.9,HYPERLINK("http://www.lxhausys.co.kr/popup/rn/download/downloadPopup.jsp?from=plwindow&amp;uu=/upload/window/REPORT/LGH-TW13-051.pdf","1등급"),IF(X177&lt;=1.2,HYPERLINK("http://www.lxhausys.co.kr/popup/rn/download/downloadPopup.jsp?from=plwindow&amp;uu=/upload/window/REPORT/LGH-TW13-051.pdf","2등급"),IF(X177&lt;=1.8,HYPERLINK("http://www.lxhausys.co.kr/popup/rn/download/downloadPopup.jsp?from=plwindow&amp;uu=/upload/window/REPORT/LGH-TW13-051.pdf","3등급"),IF(X177&lt;=2.3,HYPERLINK("http://www.lxhausys.co.kr/popup/rn/download/downloadPopup.jsp?from=plwindow&amp;uu=/upload/window/REPORT/LGH-TW13-051.pdf","4등급"),IF(X177&lt;=2.8,HYPERLINK("http://www.lxhausys.co.kr/popup/rn/download/downloadPopup.jsp?from=plwindow&amp;uu=/upload/window/REPORT/LGH-TW13-051.pdf","5등급"),HYPERLINK("http://www.lxhausys.co.kr/popup/rn/download/downloadPopup.jsp?from=plwindow&amp;uu=/upload/window/REPORT/LGH-TW13-051.pdf","등급외"))))))</f>
        <v>2등급</v>
      </c>
      <c r="L177" s="5">
        <v>1.0469999999999999</v>
      </c>
      <c r="M177" s="5" t="s">
        <v>22</v>
      </c>
      <c r="N177" s="5" t="s">
        <v>607</v>
      </c>
      <c r="O177" s="5" t="s">
        <v>19</v>
      </c>
      <c r="P177" s="5" t="s">
        <v>19</v>
      </c>
      <c r="Q177" s="5" t="s">
        <v>19</v>
      </c>
      <c r="R177" s="5" t="s">
        <v>19</v>
      </c>
      <c r="S177" s="5" t="s">
        <v>19</v>
      </c>
      <c r="T177" s="5" t="s">
        <v>19</v>
      </c>
      <c r="U177" s="5" t="s">
        <v>19</v>
      </c>
      <c r="V177" s="5" t="s">
        <v>19</v>
      </c>
      <c r="W177" s="5" t="s">
        <v>19</v>
      </c>
      <c r="X177" s="19">
        <f t="shared" si="0"/>
        <v>1.0469999999999999</v>
      </c>
    </row>
    <row r="178" spans="1:24">
      <c r="A178" t="s">
        <v>30</v>
      </c>
      <c r="B178" t="s">
        <v>19</v>
      </c>
      <c r="C178" t="s">
        <v>20</v>
      </c>
      <c r="D178" t="s">
        <v>25</v>
      </c>
      <c r="E178" t="s">
        <v>19</v>
      </c>
      <c r="F178" t="s">
        <v>19</v>
      </c>
      <c r="G178" t="s">
        <v>19</v>
      </c>
      <c r="H178" t="s">
        <v>81</v>
      </c>
      <c r="I178" t="s">
        <v>19</v>
      </c>
      <c r="J178" t="s">
        <v>19</v>
      </c>
      <c r="K178" s="21" t="str">
        <f>IF(X178&lt;=0.9,HYPERLINK("http://www.lxhausys.co.kr/popup/rn/download/downloadPopup.jsp?from=plwindow&amp;uu=/upload/window/REPORT/LGH-TW13-052.pdf","1등급"),IF(X178&lt;=1.2,HYPERLINK("http://www.lxhausys.co.kr/popup/rn/download/downloadPopup.jsp?from=plwindow&amp;uu=/upload/window/REPORT/LGH-TW13-052.pdf","2등급"),IF(X178&lt;=1.8,HYPERLINK("http://www.lxhausys.co.kr/popup/rn/download/downloadPopup.jsp?from=plwindow&amp;uu=/upload/window/REPORT/LGH-TW13-052.pdf","3등급"),IF(X178&lt;=2.3,HYPERLINK("http://www.lxhausys.co.kr/popup/rn/download/downloadPopup.jsp?from=plwindow&amp;uu=/upload/window/REPORT/LGH-TW13-052.pdf","4등급"),IF(X178&lt;=2.8,HYPERLINK("http://www.lxhausys.co.kr/popup/rn/download/downloadPopup.jsp?from=plwindow&amp;uu=/upload/window/REPORT/LGH-TW13-052.pdf","5등급"),HYPERLINK("http://www.lxhausys.co.kr/popup/rn/download/downloadPopup.jsp?from=plwindow&amp;uu=/upload/window/REPORT/LGH-TW13-052.pdf","등급외"))))))</f>
        <v>2등급</v>
      </c>
      <c r="L178" s="5">
        <v>1.147</v>
      </c>
      <c r="M178" s="5" t="s">
        <v>22</v>
      </c>
      <c r="N178" s="5" t="s">
        <v>607</v>
      </c>
      <c r="O178" s="5" t="s">
        <v>19</v>
      </c>
      <c r="P178" s="5" t="s">
        <v>19</v>
      </c>
      <c r="Q178" s="5" t="s">
        <v>19</v>
      </c>
      <c r="R178" s="5" t="s">
        <v>19</v>
      </c>
      <c r="S178" s="5" t="s">
        <v>19</v>
      </c>
      <c r="T178" s="5" t="s">
        <v>19</v>
      </c>
      <c r="U178" s="5" t="s">
        <v>19</v>
      </c>
      <c r="V178" s="5" t="s">
        <v>19</v>
      </c>
      <c r="W178" s="5" t="s">
        <v>19</v>
      </c>
      <c r="X178" s="19">
        <f t="shared" si="0"/>
        <v>1.147</v>
      </c>
    </row>
    <row r="179" spans="1:24">
      <c r="A179" t="s">
        <v>122</v>
      </c>
      <c r="B179" t="s">
        <v>19</v>
      </c>
      <c r="C179" t="s">
        <v>20</v>
      </c>
      <c r="D179" t="s">
        <v>25</v>
      </c>
      <c r="E179" t="s">
        <v>19</v>
      </c>
      <c r="F179" t="s">
        <v>19</v>
      </c>
      <c r="G179" t="s">
        <v>19</v>
      </c>
      <c r="H179" t="s">
        <v>25</v>
      </c>
      <c r="I179" t="s">
        <v>19</v>
      </c>
      <c r="J179" t="s">
        <v>19</v>
      </c>
      <c r="K179" s="21" t="str">
        <f>IF(X179&lt;=0.9,HYPERLINK("http://www.lxhausys.co.kr/popup/rn/download/downloadPopup.jsp?from=plwindow&amp;uu=/upload/window/REPORT/LGH-TW13-053.pdf","1등급"),IF(X179&lt;=1.2,HYPERLINK("http://www.lxhausys.co.kr/popup/rn/download/downloadPopup.jsp?from=plwindow&amp;uu=/upload/window/REPORT/LGH-TW13-053.pdf","2등급"),IF(X179&lt;=1.8,HYPERLINK("http://www.lxhausys.co.kr/popup/rn/download/downloadPopup.jsp?from=plwindow&amp;uu=/upload/window/REPORT/LGH-TW13-053.pdf","3등급"),IF(X179&lt;=2.3,HYPERLINK("http://www.lxhausys.co.kr/popup/rn/download/downloadPopup.jsp?from=plwindow&amp;uu=/upload/window/REPORT/LGH-TW13-053.pdf","4등급"),IF(X179&lt;=2.8,HYPERLINK("http://www.lxhausys.co.kr/popup/rn/download/downloadPopup.jsp?from=plwindow&amp;uu=/upload/window/REPORT/LGH-TW13-053.pdf","5등급"),HYPERLINK("http://www.lxhausys.co.kr/popup/rn/download/downloadPopup.jsp?from=plwindow&amp;uu=/upload/window/REPORT/LGH-TW13-053.pdf","등급외"))))))</f>
        <v>3등급</v>
      </c>
      <c r="L179" s="5">
        <v>1.3049999999999999</v>
      </c>
      <c r="M179" s="5" t="s">
        <v>22</v>
      </c>
      <c r="N179" s="5" t="s">
        <v>607</v>
      </c>
      <c r="O179" s="5" t="s">
        <v>19</v>
      </c>
      <c r="P179" s="5" t="s">
        <v>19</v>
      </c>
      <c r="Q179" s="5" t="s">
        <v>19</v>
      </c>
      <c r="R179" s="5" t="s">
        <v>19</v>
      </c>
      <c r="S179" s="5" t="s">
        <v>19</v>
      </c>
      <c r="T179" s="5" t="s">
        <v>19</v>
      </c>
      <c r="U179" s="5" t="s">
        <v>19</v>
      </c>
      <c r="V179" s="5" t="s">
        <v>19</v>
      </c>
      <c r="W179" s="5" t="s">
        <v>19</v>
      </c>
      <c r="X179" s="19">
        <f t="shared" si="0"/>
        <v>1.3049999999999999</v>
      </c>
    </row>
    <row r="180" spans="1:24">
      <c r="A180" t="s">
        <v>122</v>
      </c>
      <c r="B180" t="s">
        <v>19</v>
      </c>
      <c r="C180" t="s">
        <v>20</v>
      </c>
      <c r="D180" t="s">
        <v>32</v>
      </c>
      <c r="E180" t="s">
        <v>19</v>
      </c>
      <c r="F180" t="s">
        <v>19</v>
      </c>
      <c r="G180" t="s">
        <v>19</v>
      </c>
      <c r="H180" t="s">
        <v>32</v>
      </c>
      <c r="I180" t="s">
        <v>19</v>
      </c>
      <c r="J180" t="s">
        <v>19</v>
      </c>
      <c r="K180" s="21" t="str">
        <f>IF(X180&lt;=0.9,HYPERLINK("http://www.lxhausys.co.kr/popup/rn/download/downloadPopup.jsp?from=plwindow&amp;uu=/upload/window/REPORT/LGH-TW13-054.pdf","1등급"),IF(X180&lt;=1.2,HYPERLINK("http://www.lxhausys.co.kr/popup/rn/download/downloadPopup.jsp?from=plwindow&amp;uu=/upload/window/REPORT/LGH-TW13-054.pdf","2등급"),IF(X180&lt;=1.8,HYPERLINK("http://www.lxhausys.co.kr/popup/rn/download/downloadPopup.jsp?from=plwindow&amp;uu=/upload/window/REPORT/LGH-TW13-054.pdf","3등급"),IF(X180&lt;=2.3,HYPERLINK("http://www.lxhausys.co.kr/popup/rn/download/downloadPopup.jsp?from=plwindow&amp;uu=/upload/window/REPORT/LGH-TW13-054.pdf","4등급"),IF(X180&lt;=2.8,HYPERLINK("http://www.lxhausys.co.kr/popup/rn/download/downloadPopup.jsp?from=plwindow&amp;uu=/upload/window/REPORT/LGH-TW13-054.pdf","5등급"),HYPERLINK("http://www.lxhausys.co.kr/popup/rn/download/downloadPopup.jsp?from=plwindow&amp;uu=/upload/window/REPORT/LGH-TW13-054.pdf","등급외"))))))</f>
        <v>3등급</v>
      </c>
      <c r="L180" s="5">
        <v>1.274</v>
      </c>
      <c r="M180" s="5" t="s">
        <v>22</v>
      </c>
      <c r="N180" s="5" t="s">
        <v>607</v>
      </c>
      <c r="O180" s="5" t="s">
        <v>19</v>
      </c>
      <c r="P180" s="5" t="s">
        <v>19</v>
      </c>
      <c r="Q180" s="5" t="s">
        <v>19</v>
      </c>
      <c r="R180" s="5" t="s">
        <v>19</v>
      </c>
      <c r="S180" s="5" t="s">
        <v>19</v>
      </c>
      <c r="T180" s="5" t="s">
        <v>19</v>
      </c>
      <c r="U180" s="5" t="s">
        <v>19</v>
      </c>
      <c r="V180" s="5" t="s">
        <v>19</v>
      </c>
      <c r="W180" s="5" t="s">
        <v>19</v>
      </c>
      <c r="X180" s="19">
        <f t="shared" si="0"/>
        <v>1.274</v>
      </c>
    </row>
    <row r="181" spans="1:24">
      <c r="A181" t="s">
        <v>44</v>
      </c>
      <c r="B181" t="s">
        <v>19</v>
      </c>
      <c r="C181" t="s">
        <v>20</v>
      </c>
      <c r="D181" t="s">
        <v>118</v>
      </c>
      <c r="E181" t="s">
        <v>19</v>
      </c>
      <c r="F181" t="s">
        <v>19</v>
      </c>
      <c r="G181" t="s">
        <v>19</v>
      </c>
      <c r="H181" t="s">
        <v>19</v>
      </c>
      <c r="I181" t="s">
        <v>19</v>
      </c>
      <c r="J181" t="s">
        <v>19</v>
      </c>
      <c r="K181" s="21" t="str">
        <f>IF(X181&lt;=0.9,HYPERLINK("http://www.lxhausys.co.kr/popup/rn/download/downloadPopup.jsp?from=plwindow&amp;uu=/upload/window/REPORT/LGH-TW13-061.pdf","1등급"),IF(X181&lt;=1.2,HYPERLINK("http://www.lxhausys.co.kr/popup/rn/download/downloadPopup.jsp?from=plwindow&amp;uu=/upload/window/REPORT/LGH-TW13-061.pdf","2등급"),IF(X181&lt;=1.8,HYPERLINK("http://www.lxhausys.co.kr/popup/rn/download/downloadPopup.jsp?from=plwindow&amp;uu=/upload/window/REPORT/LGH-TW13-061.pdf","3등급"),IF(X181&lt;=2.3,HYPERLINK("http://www.lxhausys.co.kr/popup/rn/download/downloadPopup.jsp?from=plwindow&amp;uu=/upload/window/REPORT/LGH-TW13-061.pdf","4등급"),IF(X181&lt;=2.8,HYPERLINK("http://www.lxhausys.co.kr/popup/rn/download/downloadPopup.jsp?from=plwindow&amp;uu=/upload/window/REPORT/LGH-TW13-061.pdf","5등급"),HYPERLINK("http://www.lxhausys.co.kr/popup/rn/download/downloadPopup.jsp?from=plwindow&amp;uu=/upload/window/REPORT/LGH-TW13-061.pdf","등급외"))))))</f>
        <v>2등급</v>
      </c>
      <c r="L181" s="5">
        <v>0.98599999999999999</v>
      </c>
      <c r="M181" s="5" t="s">
        <v>22</v>
      </c>
      <c r="N181" s="5" t="s">
        <v>607</v>
      </c>
      <c r="O181" s="5" t="s">
        <v>19</v>
      </c>
      <c r="P181" s="5" t="s">
        <v>19</v>
      </c>
      <c r="Q181" s="5" t="s">
        <v>19</v>
      </c>
      <c r="R181" s="5" t="s">
        <v>19</v>
      </c>
      <c r="S181" s="5" t="s">
        <v>19</v>
      </c>
      <c r="T181" s="5" t="s">
        <v>19</v>
      </c>
      <c r="U181" s="5" t="s">
        <v>19</v>
      </c>
      <c r="V181" s="5" t="s">
        <v>19</v>
      </c>
      <c r="W181" s="5" t="s">
        <v>19</v>
      </c>
      <c r="X181" s="19">
        <f t="shared" si="0"/>
        <v>0.98599999999999999</v>
      </c>
    </row>
    <row r="182" spans="1:24">
      <c r="A182" t="s">
        <v>122</v>
      </c>
      <c r="B182" t="s">
        <v>19</v>
      </c>
      <c r="C182" t="s">
        <v>20</v>
      </c>
      <c r="D182" t="s">
        <v>32</v>
      </c>
      <c r="E182" t="s">
        <v>19</v>
      </c>
      <c r="F182" t="s">
        <v>19</v>
      </c>
      <c r="G182" t="s">
        <v>19</v>
      </c>
      <c r="H182" t="s">
        <v>94</v>
      </c>
      <c r="I182" t="s">
        <v>19</v>
      </c>
      <c r="J182" t="s">
        <v>19</v>
      </c>
      <c r="K182" s="21" t="str">
        <f>IF(X182&lt;=0.9,HYPERLINK("http://www.lxhausys.co.kr/popup/rn/download/downloadPopup.jsp?from=plwindow&amp;uu=/upload/window/REPORT/LGH-TW13-065.pdf","1등급"),IF(X182&lt;=1.2,HYPERLINK("http://www.lxhausys.co.kr/popup/rn/download/downloadPopup.jsp?from=plwindow&amp;uu=/upload/window/REPORT/LGH-TW13-065.pdf","2등급"),IF(X182&lt;=1.8,HYPERLINK("http://www.lxhausys.co.kr/popup/rn/download/downloadPopup.jsp?from=plwindow&amp;uu=/upload/window/REPORT/LGH-TW13-065.pdf","3등급"),IF(X182&lt;=2.3,HYPERLINK("http://www.lxhausys.co.kr/popup/rn/download/downloadPopup.jsp?from=plwindow&amp;uu=/upload/window/REPORT/LGH-TW13-065.pdf","4등급"),IF(X182&lt;=2.8,HYPERLINK("http://www.lxhausys.co.kr/popup/rn/download/downloadPopup.jsp?from=plwindow&amp;uu=/upload/window/REPORT/LGH-TW13-065.pdf","5등급"),HYPERLINK("http://www.lxhausys.co.kr/popup/rn/download/downloadPopup.jsp?from=plwindow&amp;uu=/upload/window/REPORT/LGH-TW13-065.pdf","등급외"))))))</f>
        <v>1등급</v>
      </c>
      <c r="L182" s="5">
        <v>0.86699999999999999</v>
      </c>
      <c r="M182" s="5" t="s">
        <v>22</v>
      </c>
      <c r="N182" s="5" t="s">
        <v>607</v>
      </c>
      <c r="O182" s="5" t="s">
        <v>19</v>
      </c>
      <c r="P182" s="5" t="s">
        <v>19</v>
      </c>
      <c r="Q182" s="5" t="s">
        <v>19</v>
      </c>
      <c r="R182" s="5" t="s">
        <v>19</v>
      </c>
      <c r="S182" s="5" t="s">
        <v>19</v>
      </c>
      <c r="T182" s="5" t="s">
        <v>19</v>
      </c>
      <c r="U182" s="5" t="s">
        <v>19</v>
      </c>
      <c r="V182" s="5" t="s">
        <v>19</v>
      </c>
      <c r="W182" s="5" t="s">
        <v>19</v>
      </c>
      <c r="X182" s="19">
        <f t="shared" si="0"/>
        <v>0.86699999999999999</v>
      </c>
    </row>
    <row r="183" spans="1:24">
      <c r="A183" t="s">
        <v>122</v>
      </c>
      <c r="B183" t="s">
        <v>19</v>
      </c>
      <c r="C183" t="s">
        <v>20</v>
      </c>
      <c r="D183" t="s">
        <v>25</v>
      </c>
      <c r="E183" t="s">
        <v>19</v>
      </c>
      <c r="F183" t="s">
        <v>19</v>
      </c>
      <c r="G183" t="s">
        <v>19</v>
      </c>
      <c r="H183" t="s">
        <v>64</v>
      </c>
      <c r="I183" t="s">
        <v>19</v>
      </c>
      <c r="J183" t="s">
        <v>19</v>
      </c>
      <c r="K183" s="21" t="str">
        <f>IF(X183&lt;=0.9,HYPERLINK("http://www.lxhausys.co.kr/popup/rn/download/downloadPopup.jsp?from=plwindow&amp;uu=/upload/window/REPORT/LGH-TW13-068.pdf","1등급"),IF(X183&lt;=1.2,HYPERLINK("http://www.lxhausys.co.kr/popup/rn/download/downloadPopup.jsp?from=plwindow&amp;uu=/upload/window/REPORT/LGH-TW13-068.pdf","2등급"),IF(X183&lt;=1.8,HYPERLINK("http://www.lxhausys.co.kr/popup/rn/download/downloadPopup.jsp?from=plwindow&amp;uu=/upload/window/REPORT/LGH-TW13-068.pdf","3등급"),IF(X183&lt;=2.3,HYPERLINK("http://www.lxhausys.co.kr/popup/rn/download/downloadPopup.jsp?from=plwindow&amp;uu=/upload/window/REPORT/LGH-TW13-068.pdf","4등급"),IF(X183&lt;=2.8,HYPERLINK("http://www.lxhausys.co.kr/popup/rn/download/downloadPopup.jsp?from=plwindow&amp;uu=/upload/window/REPORT/LGH-TW13-068.pdf","5등급"),HYPERLINK("http://www.lxhausys.co.kr/popup/rn/download/downloadPopup.jsp?from=plwindow&amp;uu=/upload/window/REPORT/LGH-TW13-068.pdf","등급외"))))))</f>
        <v>1등급</v>
      </c>
      <c r="L183" s="5">
        <v>0.9</v>
      </c>
      <c r="M183" s="5" t="s">
        <v>22</v>
      </c>
      <c r="N183" s="5" t="s">
        <v>607</v>
      </c>
      <c r="O183" s="5" t="s">
        <v>19</v>
      </c>
      <c r="P183" s="5" t="s">
        <v>19</v>
      </c>
      <c r="Q183" s="5" t="s">
        <v>19</v>
      </c>
      <c r="R183" s="5" t="s">
        <v>19</v>
      </c>
      <c r="S183" s="5" t="s">
        <v>19</v>
      </c>
      <c r="T183" s="5" t="s">
        <v>19</v>
      </c>
      <c r="U183" s="5" t="s">
        <v>19</v>
      </c>
      <c r="V183" s="5" t="s">
        <v>19</v>
      </c>
      <c r="W183" s="5" t="s">
        <v>19</v>
      </c>
      <c r="X183" s="19">
        <f t="shared" si="0"/>
        <v>0.9</v>
      </c>
    </row>
    <row r="184" spans="1:24">
      <c r="A184" t="s">
        <v>122</v>
      </c>
      <c r="B184" t="s">
        <v>19</v>
      </c>
      <c r="C184" t="s">
        <v>20</v>
      </c>
      <c r="D184" t="s">
        <v>25</v>
      </c>
      <c r="E184" t="s">
        <v>19</v>
      </c>
      <c r="F184" t="s">
        <v>19</v>
      </c>
      <c r="G184" t="s">
        <v>19</v>
      </c>
      <c r="H184" t="s">
        <v>53</v>
      </c>
      <c r="I184" t="s">
        <v>19</v>
      </c>
      <c r="J184" t="s">
        <v>19</v>
      </c>
      <c r="K184" s="21" t="str">
        <f>IF(X184&lt;=0.9,HYPERLINK("http://www.lxhausys.co.kr/popup/rn/download/downloadPopup.jsp?from=plwindow&amp;uu=/upload/window/REPORT/LGH-TW13-069.pdf","1등급"),IF(X184&lt;=1.2,HYPERLINK("http://www.lxhausys.co.kr/popup/rn/download/downloadPopup.jsp?from=plwindow&amp;uu=/upload/window/REPORT/LGH-TW13-069.pdf","2등급"),IF(X184&lt;=1.8,HYPERLINK("http://www.lxhausys.co.kr/popup/rn/download/downloadPopup.jsp?from=plwindow&amp;uu=/upload/window/REPORT/LGH-TW13-069.pdf","3등급"),IF(X184&lt;=2.3,HYPERLINK("http://www.lxhausys.co.kr/popup/rn/download/downloadPopup.jsp?from=plwindow&amp;uu=/upload/window/REPORT/LGH-TW13-069.pdf","4등급"),IF(X184&lt;=2.8,HYPERLINK("http://www.lxhausys.co.kr/popup/rn/download/downloadPopup.jsp?from=plwindow&amp;uu=/upload/window/REPORT/LGH-TW13-069.pdf","5등급"),HYPERLINK("http://www.lxhausys.co.kr/popup/rn/download/downloadPopup.jsp?from=plwindow&amp;uu=/upload/window/REPORT/LGH-TW13-069.pdf","등급외"))))))</f>
        <v>1등급</v>
      </c>
      <c r="L184" s="5">
        <v>0.88500000000000001</v>
      </c>
      <c r="M184" s="5" t="s">
        <v>22</v>
      </c>
      <c r="N184" s="5" t="s">
        <v>607</v>
      </c>
      <c r="O184" s="5" t="s">
        <v>19</v>
      </c>
      <c r="P184" s="5" t="s">
        <v>19</v>
      </c>
      <c r="Q184" s="5" t="s">
        <v>19</v>
      </c>
      <c r="R184" s="5" t="s">
        <v>19</v>
      </c>
      <c r="S184" s="5" t="s">
        <v>19</v>
      </c>
      <c r="T184" s="5" t="s">
        <v>19</v>
      </c>
      <c r="U184" s="5" t="s">
        <v>19</v>
      </c>
      <c r="V184" s="5" t="s">
        <v>19</v>
      </c>
      <c r="W184" s="5" t="s">
        <v>19</v>
      </c>
      <c r="X184" s="19">
        <f t="shared" si="0"/>
        <v>0.88500000000000001</v>
      </c>
    </row>
    <row r="185" spans="1:24">
      <c r="A185" t="s">
        <v>36</v>
      </c>
      <c r="B185" t="s">
        <v>19</v>
      </c>
      <c r="C185" t="s">
        <v>20</v>
      </c>
      <c r="D185" t="s">
        <v>118</v>
      </c>
      <c r="E185" t="s">
        <v>123</v>
      </c>
      <c r="F185" t="s">
        <v>19</v>
      </c>
      <c r="G185" t="s">
        <v>19</v>
      </c>
      <c r="H185" t="s">
        <v>19</v>
      </c>
      <c r="I185" t="s">
        <v>19</v>
      </c>
      <c r="J185" t="s">
        <v>19</v>
      </c>
      <c r="K185" s="21" t="str">
        <f>IF(X185&lt;=0.9,HYPERLINK("http://www.lxhausys.co.kr/popup/rn/download/downloadPopup.jsp?from=plwindow&amp;uu=/upload/window/REPORT/LGH-TW13-073.pdf","1등급"),IF(X185&lt;=1.2,HYPERLINK("http://www.lxhausys.co.kr/popup/rn/download/downloadPopup.jsp?from=plwindow&amp;uu=/upload/window/REPORT/LGH-TW13-073.pdf","2등급"),IF(X185&lt;=1.8,HYPERLINK("http://www.lxhausys.co.kr/popup/rn/download/downloadPopup.jsp?from=plwindow&amp;uu=/upload/window/REPORT/LGH-TW13-073.pdf","3등급"),IF(X185&lt;=2.3,HYPERLINK("http://www.lxhausys.co.kr/popup/rn/download/downloadPopup.jsp?from=plwindow&amp;uu=/upload/window/REPORT/LGH-TW13-073.pdf","4등급"),IF(X185&lt;=2.8,HYPERLINK("http://www.lxhausys.co.kr/popup/rn/download/downloadPopup.jsp?from=plwindow&amp;uu=/upload/window/REPORT/LGH-TW13-073.pdf","5등급"),HYPERLINK("http://www.lxhausys.co.kr/popup/rn/download/downloadPopup.jsp?from=plwindow&amp;uu=/upload/window/REPORT/LGH-TW13-073.pdf","등급외"))))))</f>
        <v>2등급</v>
      </c>
      <c r="L185" s="5">
        <v>1.085</v>
      </c>
      <c r="M185" s="5" t="s">
        <v>22</v>
      </c>
      <c r="N185" s="5" t="s">
        <v>607</v>
      </c>
      <c r="O185" s="5" t="s">
        <v>19</v>
      </c>
      <c r="P185" s="5" t="s">
        <v>19</v>
      </c>
      <c r="Q185" s="5" t="s">
        <v>19</v>
      </c>
      <c r="R185" s="5" t="s">
        <v>19</v>
      </c>
      <c r="S185" s="5" t="s">
        <v>19</v>
      </c>
      <c r="T185" s="5" t="s">
        <v>19</v>
      </c>
      <c r="U185" s="5" t="s">
        <v>19</v>
      </c>
      <c r="V185" s="5" t="s">
        <v>19</v>
      </c>
      <c r="W185" s="5" t="s">
        <v>19</v>
      </c>
      <c r="X185" s="19">
        <f t="shared" si="0"/>
        <v>1.085</v>
      </c>
    </row>
    <row r="186" spans="1:24">
      <c r="A186" t="s">
        <v>39</v>
      </c>
      <c r="B186" t="s">
        <v>19</v>
      </c>
      <c r="C186" t="s">
        <v>20</v>
      </c>
      <c r="D186" t="s">
        <v>118</v>
      </c>
      <c r="E186" t="s">
        <v>19</v>
      </c>
      <c r="F186" t="s">
        <v>19</v>
      </c>
      <c r="G186" t="s">
        <v>19</v>
      </c>
      <c r="H186" t="s">
        <v>19</v>
      </c>
      <c r="I186" t="s">
        <v>19</v>
      </c>
      <c r="J186" t="s">
        <v>19</v>
      </c>
      <c r="K186" s="21" t="str">
        <f>IF(X186&lt;=0.9,HYPERLINK("http://www.lxhausys.co.kr/popup/rn/download/downloadPopup.jsp?from=plwindow&amp;uu=/upload/window/REPORT/LGH-TW13-074.pdf","1등급"),IF(X186&lt;=1.2,HYPERLINK("http://www.lxhausys.co.kr/popup/rn/download/downloadPopup.jsp?from=plwindow&amp;uu=/upload/window/REPORT/LGH-TW13-074.pdf","2등급"),IF(X186&lt;=1.8,HYPERLINK("http://www.lxhausys.co.kr/popup/rn/download/downloadPopup.jsp?from=plwindow&amp;uu=/upload/window/REPORT/LGH-TW13-074.pdf","3등급"),IF(X186&lt;=2.3,HYPERLINK("http://www.lxhausys.co.kr/popup/rn/download/downloadPopup.jsp?from=plwindow&amp;uu=/upload/window/REPORT/LGH-TW13-074.pdf","4등급"),IF(X186&lt;=2.8,HYPERLINK("http://www.lxhausys.co.kr/popup/rn/download/downloadPopup.jsp?from=plwindow&amp;uu=/upload/window/REPORT/LGH-TW13-074.pdf","5등급"),HYPERLINK("http://www.lxhausys.co.kr/popup/rn/download/downloadPopup.jsp?from=plwindow&amp;uu=/upload/window/REPORT/LGH-TW13-074.pdf","등급외"))))))</f>
        <v>2등급</v>
      </c>
      <c r="L186" s="5">
        <v>1.014</v>
      </c>
      <c r="M186" s="5" t="s">
        <v>22</v>
      </c>
      <c r="N186" s="5" t="s">
        <v>607</v>
      </c>
      <c r="O186" s="5" t="s">
        <v>19</v>
      </c>
      <c r="P186" s="5" t="s">
        <v>19</v>
      </c>
      <c r="Q186" s="5" t="s">
        <v>19</v>
      </c>
      <c r="R186" s="5" t="s">
        <v>19</v>
      </c>
      <c r="S186" s="5" t="s">
        <v>19</v>
      </c>
      <c r="T186" s="5" t="s">
        <v>19</v>
      </c>
      <c r="U186" s="5" t="s">
        <v>19</v>
      </c>
      <c r="V186" s="5" t="s">
        <v>19</v>
      </c>
      <c r="W186" s="5" t="s">
        <v>19</v>
      </c>
      <c r="X186" s="19">
        <f t="shared" si="0"/>
        <v>1.014</v>
      </c>
    </row>
    <row r="187" spans="1:24">
      <c r="A187" t="s">
        <v>30</v>
      </c>
      <c r="B187" t="s">
        <v>19</v>
      </c>
      <c r="C187" t="s">
        <v>20</v>
      </c>
      <c r="D187" t="s">
        <v>25</v>
      </c>
      <c r="E187" t="s">
        <v>19</v>
      </c>
      <c r="F187" t="s">
        <v>19</v>
      </c>
      <c r="G187" t="s">
        <v>19</v>
      </c>
      <c r="H187" t="s">
        <v>53</v>
      </c>
      <c r="I187" t="s">
        <v>19</v>
      </c>
      <c r="J187" t="s">
        <v>19</v>
      </c>
      <c r="K187" s="21" t="str">
        <f>IF(X187&lt;=0.9,HYPERLINK("http://www.lxhausys.co.kr/popup/rn/download/downloadPopup.jsp?from=plwindow&amp;uu=/upload/window/REPORT/LGH-TW13-075.pdf","1등급"),IF(X187&lt;=1.2,HYPERLINK("http://www.lxhausys.co.kr/popup/rn/download/downloadPopup.jsp?from=plwindow&amp;uu=/upload/window/REPORT/LGH-TW13-075.pdf","2등급"),IF(X187&lt;=1.8,HYPERLINK("http://www.lxhausys.co.kr/popup/rn/download/downloadPopup.jsp?from=plwindow&amp;uu=/upload/window/REPORT/LGH-TW13-075.pdf","3등급"),IF(X187&lt;=2.3,HYPERLINK("http://www.lxhausys.co.kr/popup/rn/download/downloadPopup.jsp?from=plwindow&amp;uu=/upload/window/REPORT/LGH-TW13-075.pdf","4등급"),IF(X187&lt;=2.8,HYPERLINK("http://www.lxhausys.co.kr/popup/rn/download/downloadPopup.jsp?from=plwindow&amp;uu=/upload/window/REPORT/LGH-TW13-075.pdf","5등급"),HYPERLINK("http://www.lxhausys.co.kr/popup/rn/download/downloadPopup.jsp?from=plwindow&amp;uu=/upload/window/REPORT/LGH-TW13-075.pdf","등급외"))))))</f>
        <v>1등급</v>
      </c>
      <c r="L187" s="5">
        <v>0.84299999999999997</v>
      </c>
      <c r="M187" s="5" t="s">
        <v>22</v>
      </c>
      <c r="N187" s="5" t="s">
        <v>607</v>
      </c>
      <c r="O187" s="5" t="s">
        <v>19</v>
      </c>
      <c r="P187" s="5" t="s">
        <v>19</v>
      </c>
      <c r="Q187" s="5" t="s">
        <v>19</v>
      </c>
      <c r="R187" s="5" t="s">
        <v>19</v>
      </c>
      <c r="S187" s="5" t="s">
        <v>19</v>
      </c>
      <c r="T187" s="5" t="s">
        <v>19</v>
      </c>
      <c r="U187" s="5" t="s">
        <v>19</v>
      </c>
      <c r="V187" s="5" t="s">
        <v>19</v>
      </c>
      <c r="W187" s="5" t="s">
        <v>19</v>
      </c>
      <c r="X187" s="19">
        <f t="shared" si="0"/>
        <v>0.84299999999999997</v>
      </c>
    </row>
    <row r="188" spans="1:24">
      <c r="A188" t="s">
        <v>18</v>
      </c>
      <c r="B188" t="s">
        <v>19</v>
      </c>
      <c r="C188" t="s">
        <v>20</v>
      </c>
      <c r="D188" t="s">
        <v>21</v>
      </c>
      <c r="E188" t="s">
        <v>19</v>
      </c>
      <c r="F188" t="s">
        <v>19</v>
      </c>
      <c r="G188" t="s">
        <v>19</v>
      </c>
      <c r="H188" t="s">
        <v>19</v>
      </c>
      <c r="I188" t="s">
        <v>19</v>
      </c>
      <c r="J188" t="s">
        <v>19</v>
      </c>
      <c r="K188" s="21" t="str">
        <f>IF(X188&lt;=0.9,HYPERLINK("http://www.lxhausys.co.kr/popup/rn/download/downloadPopup.jsp?from=plwindow&amp;uu=/upload/window/REPORT/LGH-TW14-013.pdf","1등급"),IF(X188&lt;=1.2,HYPERLINK("http://www.lxhausys.co.kr/popup/rn/download/downloadPopup.jsp?from=plwindow&amp;uu=/upload/window/REPORT/LGH-TW14-013.pdf","2등급"),IF(X188&lt;=1.8,HYPERLINK("http://www.lxhausys.co.kr/popup/rn/download/downloadPopup.jsp?from=plwindow&amp;uu=/upload/window/REPORT/LGH-TW14-013.pdf","3등급"),IF(X188&lt;=2.3,HYPERLINK("http://www.lxhausys.co.kr/popup/rn/download/downloadPopup.jsp?from=plwindow&amp;uu=/upload/window/REPORT/LGH-TW14-013.pdf","4등급"),IF(X188&lt;=2.8,HYPERLINK("http://www.lxhausys.co.kr/popup/rn/download/downloadPopup.jsp?from=plwindow&amp;uu=/upload/window/REPORT/LGH-TW14-013.pdf","5등급"),HYPERLINK("http://www.lxhausys.co.kr/popup/rn/download/downloadPopup.jsp?from=plwindow&amp;uu=/upload/window/REPORT/LGH-TW14-013.pdf","등급외"))))))</f>
        <v>3등급</v>
      </c>
      <c r="L188" s="5">
        <v>1.6579999999999999</v>
      </c>
      <c r="M188" s="5" t="s">
        <v>22</v>
      </c>
      <c r="N188" s="5" t="s">
        <v>607</v>
      </c>
      <c r="O188" s="5" t="s">
        <v>19</v>
      </c>
      <c r="P188" s="5" t="s">
        <v>19</v>
      </c>
      <c r="Q188" s="5" t="s">
        <v>19</v>
      </c>
      <c r="R188" s="5" t="s">
        <v>19</v>
      </c>
      <c r="S188" s="5" t="s">
        <v>19</v>
      </c>
      <c r="T188" s="5" t="s">
        <v>19</v>
      </c>
      <c r="U188" s="5" t="s">
        <v>19</v>
      </c>
      <c r="V188" s="5" t="s">
        <v>19</v>
      </c>
      <c r="W188" s="5" t="s">
        <v>19</v>
      </c>
      <c r="X188" s="19">
        <f t="shared" si="0"/>
        <v>1.6579999999999999</v>
      </c>
    </row>
    <row r="189" spans="1:24">
      <c r="A189" t="s">
        <v>19</v>
      </c>
      <c r="B189" t="s">
        <v>48</v>
      </c>
      <c r="C189" t="s">
        <v>20</v>
      </c>
      <c r="D189" t="s">
        <v>28</v>
      </c>
      <c r="E189" t="s">
        <v>19</v>
      </c>
      <c r="F189" t="s">
        <v>19</v>
      </c>
      <c r="G189" t="s">
        <v>19</v>
      </c>
      <c r="H189" t="s">
        <v>28</v>
      </c>
      <c r="I189" t="s">
        <v>19</v>
      </c>
      <c r="J189" t="s">
        <v>19</v>
      </c>
      <c r="K189" s="21" t="str">
        <f>IF(X189&lt;=0.9,HYPERLINK("http://www.lxhausys.co.kr/popup/rn/download/downloadPopup.jsp?from=plwindow&amp;uu=/upload/window/REPORT/LGH-TW14-017.pdf","1등급"),IF(X189&lt;=1.2,HYPERLINK("http://www.lxhausys.co.kr/popup/rn/download/downloadPopup.jsp?from=plwindow&amp;uu=/upload/window/REPORT/LGH-TW14-017.pdf","2등급"),IF(X189&lt;=1.8,HYPERLINK("http://www.lxhausys.co.kr/popup/rn/download/downloadPopup.jsp?from=plwindow&amp;uu=/upload/window/REPORT/LGH-TW14-017.pdf","3등급"),IF(X189&lt;=2.3,HYPERLINK("http://www.lxhausys.co.kr/popup/rn/download/downloadPopup.jsp?from=plwindow&amp;uu=/upload/window/REPORT/LGH-TW14-017.pdf","4등급"),IF(X189&lt;=2.8,HYPERLINK("http://www.lxhausys.co.kr/popup/rn/download/downloadPopup.jsp?from=plwindow&amp;uu=/upload/window/REPORT/LGH-TW14-017.pdf","5등급"),HYPERLINK("http://www.lxhausys.co.kr/popup/rn/download/downloadPopup.jsp?from=plwindow&amp;uu=/upload/window/REPORT/LGH-TW14-017.pdf","등급외"))))))</f>
        <v>1등급</v>
      </c>
      <c r="L189" s="5">
        <v>0.84499999999999997</v>
      </c>
      <c r="M189" s="5" t="s">
        <v>22</v>
      </c>
      <c r="N189" s="5" t="s">
        <v>607</v>
      </c>
      <c r="O189" s="5" t="s">
        <v>19</v>
      </c>
      <c r="P189" s="5" t="s">
        <v>19</v>
      </c>
      <c r="Q189" s="5" t="s">
        <v>19</v>
      </c>
      <c r="R189" s="5" t="s">
        <v>19</v>
      </c>
      <c r="S189" s="5" t="s">
        <v>19</v>
      </c>
      <c r="T189" s="5" t="s">
        <v>19</v>
      </c>
      <c r="U189" s="5" t="s">
        <v>19</v>
      </c>
      <c r="V189" s="5" t="s">
        <v>19</v>
      </c>
      <c r="W189" s="5" t="s">
        <v>19</v>
      </c>
      <c r="X189" s="19">
        <f t="shared" si="0"/>
        <v>0.84499999999999997</v>
      </c>
    </row>
    <row r="190" spans="1:24">
      <c r="A190" t="s">
        <v>19</v>
      </c>
      <c r="B190" t="s">
        <v>71</v>
      </c>
      <c r="C190" t="s">
        <v>20</v>
      </c>
      <c r="D190" t="s">
        <v>25</v>
      </c>
      <c r="E190" t="s">
        <v>19</v>
      </c>
      <c r="F190" t="s">
        <v>19</v>
      </c>
      <c r="G190" t="s">
        <v>19</v>
      </c>
      <c r="H190" t="s">
        <v>25</v>
      </c>
      <c r="I190" t="s">
        <v>19</v>
      </c>
      <c r="J190" t="s">
        <v>19</v>
      </c>
      <c r="K190" s="21" t="str">
        <f>IF(X190&lt;=0.9,HYPERLINK("http://www.lxhausys.co.kr/popup/rn/download/downloadPopup.jsp?from=plwindow&amp;uu=/upload/window/REPORT/LGH-TW14-020.pdf","1등급"),IF(X190&lt;=1.2,HYPERLINK("http://www.lxhausys.co.kr/popup/rn/download/downloadPopup.jsp?from=plwindow&amp;uu=/upload/window/REPORT/LGH-TW14-020.pdf","2등급"),IF(X190&lt;=1.8,HYPERLINK("http://www.lxhausys.co.kr/popup/rn/download/downloadPopup.jsp?from=plwindow&amp;uu=/upload/window/REPORT/LGH-TW14-020.pdf","3등급"),IF(X190&lt;=2.3,HYPERLINK("http://www.lxhausys.co.kr/popup/rn/download/downloadPopup.jsp?from=plwindow&amp;uu=/upload/window/REPORT/LGH-TW14-020.pdf","4등급"),IF(X190&lt;=2.8,HYPERLINK("http://www.lxhausys.co.kr/popup/rn/download/downloadPopup.jsp?from=plwindow&amp;uu=/upload/window/REPORT/LGH-TW14-020.pdf","5등급"),HYPERLINK("http://www.lxhausys.co.kr/popup/rn/download/downloadPopup.jsp?from=plwindow&amp;uu=/upload/window/REPORT/LGH-TW14-020.pdf","등급외"))))))</f>
        <v>3등급</v>
      </c>
      <c r="L190" s="5">
        <v>1.381</v>
      </c>
      <c r="M190" s="5" t="s">
        <v>22</v>
      </c>
      <c r="N190" s="5" t="s">
        <v>607</v>
      </c>
      <c r="O190" s="5" t="s">
        <v>19</v>
      </c>
      <c r="P190" s="5" t="s">
        <v>19</v>
      </c>
      <c r="Q190" s="5" t="s">
        <v>19</v>
      </c>
      <c r="R190" s="5" t="s">
        <v>19</v>
      </c>
      <c r="S190" s="5" t="s">
        <v>19</v>
      </c>
      <c r="T190" s="5" t="s">
        <v>19</v>
      </c>
      <c r="U190" s="5" t="s">
        <v>19</v>
      </c>
      <c r="V190" s="5" t="s">
        <v>19</v>
      </c>
      <c r="W190" s="5" t="s">
        <v>19</v>
      </c>
      <c r="X190" s="19">
        <f t="shared" si="0"/>
        <v>1.381</v>
      </c>
    </row>
    <row r="191" spans="1:24">
      <c r="A191" t="s">
        <v>19</v>
      </c>
      <c r="B191" t="s">
        <v>124</v>
      </c>
      <c r="C191" t="s">
        <v>20</v>
      </c>
      <c r="D191" t="s">
        <v>25</v>
      </c>
      <c r="E191" t="s">
        <v>19</v>
      </c>
      <c r="F191" t="s">
        <v>19</v>
      </c>
      <c r="G191" t="s">
        <v>19</v>
      </c>
      <c r="H191" t="s">
        <v>25</v>
      </c>
      <c r="I191" t="s">
        <v>19</v>
      </c>
      <c r="J191" t="s">
        <v>19</v>
      </c>
      <c r="K191" s="21" t="str">
        <f>IF(X191&lt;=0.9,HYPERLINK("http://www.lxhausys.co.kr/popup/rn/download/downloadPopup.jsp?from=plwindow&amp;uu=/upload/window/REPORT/LGH-TW14-024.pdf","1등급"),IF(X191&lt;=1.2,HYPERLINK("http://www.lxhausys.co.kr/popup/rn/download/downloadPopup.jsp?from=plwindow&amp;uu=/upload/window/REPORT/LGH-TW14-024.pdf","2등급"),IF(X191&lt;=1.8,HYPERLINK("http://www.lxhausys.co.kr/popup/rn/download/downloadPopup.jsp?from=plwindow&amp;uu=/upload/window/REPORT/LGH-TW14-024.pdf","3등급"),IF(X191&lt;=2.3,HYPERLINK("http://www.lxhausys.co.kr/popup/rn/download/downloadPopup.jsp?from=plwindow&amp;uu=/upload/window/REPORT/LGH-TW14-024.pdf","4등급"),IF(X191&lt;=2.8,HYPERLINK("http://www.lxhausys.co.kr/popup/rn/download/downloadPopup.jsp?from=plwindow&amp;uu=/upload/window/REPORT/LGH-TW14-024.pdf","5등급"),HYPERLINK("http://www.lxhausys.co.kr/popup/rn/download/downloadPopup.jsp?from=plwindow&amp;uu=/upload/window/REPORT/LGH-TW14-024.pdf","등급외"))))))</f>
        <v>2등급</v>
      </c>
      <c r="L191" s="5">
        <v>1.089</v>
      </c>
      <c r="M191" s="5" t="s">
        <v>22</v>
      </c>
      <c r="N191" s="5" t="s">
        <v>607</v>
      </c>
      <c r="O191" s="5" t="s">
        <v>19</v>
      </c>
      <c r="P191" s="5" t="s">
        <v>19</v>
      </c>
      <c r="Q191" s="5" t="s">
        <v>19</v>
      </c>
      <c r="R191" s="5" t="s">
        <v>19</v>
      </c>
      <c r="S191" s="5" t="s">
        <v>19</v>
      </c>
      <c r="T191" s="5" t="s">
        <v>19</v>
      </c>
      <c r="U191" s="5" t="s">
        <v>19</v>
      </c>
      <c r="V191" s="5" t="s">
        <v>19</v>
      </c>
      <c r="W191" s="5" t="s">
        <v>19</v>
      </c>
      <c r="X191" s="19">
        <f t="shared" si="0"/>
        <v>1.089</v>
      </c>
    </row>
    <row r="192" spans="1:24">
      <c r="A192" t="s">
        <v>19</v>
      </c>
      <c r="B192" t="s">
        <v>124</v>
      </c>
      <c r="C192" t="s">
        <v>20</v>
      </c>
      <c r="D192" t="s">
        <v>64</v>
      </c>
      <c r="E192" t="s">
        <v>19</v>
      </c>
      <c r="F192" t="s">
        <v>19</v>
      </c>
      <c r="G192" t="s">
        <v>19</v>
      </c>
      <c r="H192" t="s">
        <v>25</v>
      </c>
      <c r="I192" t="s">
        <v>19</v>
      </c>
      <c r="J192" t="s">
        <v>19</v>
      </c>
      <c r="K192" s="21" t="str">
        <f>IF(X192&lt;=0.9,HYPERLINK("http://www.lxhausys.co.kr/popup/rn/download/downloadPopup.jsp?from=plwindow&amp;uu=/upload/window/REPORT/LGH-TW14-025.pdf","1등급"),IF(X192&lt;=1.2,HYPERLINK("http://www.lxhausys.co.kr/popup/rn/download/downloadPopup.jsp?from=plwindow&amp;uu=/upload/window/REPORT/LGH-TW14-025.pdf","2등급"),IF(X192&lt;=1.8,HYPERLINK("http://www.lxhausys.co.kr/popup/rn/download/downloadPopup.jsp?from=plwindow&amp;uu=/upload/window/REPORT/LGH-TW14-025.pdf","3등급"),IF(X192&lt;=2.3,HYPERLINK("http://www.lxhausys.co.kr/popup/rn/download/downloadPopup.jsp?from=plwindow&amp;uu=/upload/window/REPORT/LGH-TW14-025.pdf","4등급"),IF(X192&lt;=2.8,HYPERLINK("http://www.lxhausys.co.kr/popup/rn/download/downloadPopup.jsp?from=plwindow&amp;uu=/upload/window/REPORT/LGH-TW14-025.pdf","5등급"),HYPERLINK("http://www.lxhausys.co.kr/popup/rn/download/downloadPopup.jsp?from=plwindow&amp;uu=/upload/window/REPORT/LGH-TW14-025.pdf","등급외"))))))</f>
        <v>2등급</v>
      </c>
      <c r="L192" s="5">
        <v>0.99</v>
      </c>
      <c r="M192" s="5" t="s">
        <v>22</v>
      </c>
      <c r="N192" s="5" t="s">
        <v>607</v>
      </c>
      <c r="O192" s="5" t="s">
        <v>19</v>
      </c>
      <c r="P192" s="5" t="s">
        <v>19</v>
      </c>
      <c r="Q192" s="5" t="s">
        <v>19</v>
      </c>
      <c r="R192" s="5" t="s">
        <v>19</v>
      </c>
      <c r="S192" s="5" t="s">
        <v>19</v>
      </c>
      <c r="T192" s="5" t="s">
        <v>19</v>
      </c>
      <c r="U192" s="5" t="s">
        <v>19</v>
      </c>
      <c r="V192" s="5" t="s">
        <v>19</v>
      </c>
      <c r="W192" s="5" t="s">
        <v>19</v>
      </c>
      <c r="X192" s="19">
        <f t="shared" si="0"/>
        <v>0.99</v>
      </c>
    </row>
    <row r="193" spans="1:24">
      <c r="A193" t="s">
        <v>19</v>
      </c>
      <c r="B193" t="s">
        <v>124</v>
      </c>
      <c r="C193" t="s">
        <v>20</v>
      </c>
      <c r="D193" t="s">
        <v>41</v>
      </c>
      <c r="E193" t="s">
        <v>19</v>
      </c>
      <c r="F193" t="s">
        <v>19</v>
      </c>
      <c r="G193" t="s">
        <v>19</v>
      </c>
      <c r="H193" t="s">
        <v>41</v>
      </c>
      <c r="I193" t="s">
        <v>19</v>
      </c>
      <c r="J193" t="s">
        <v>19</v>
      </c>
      <c r="K193" s="21" t="str">
        <f>IF(X193&lt;=0.9,HYPERLINK("http://www.lxhausys.co.kr/popup/rn/download/downloadPopup.jsp?from=plwindow&amp;uu=/upload/window/REPORT/LGH-TW14-026.pdf","1등급"),IF(X193&lt;=1.2,HYPERLINK("http://www.lxhausys.co.kr/popup/rn/download/downloadPopup.jsp?from=plwindow&amp;uu=/upload/window/REPORT/LGH-TW14-026.pdf","2등급"),IF(X193&lt;=1.8,HYPERLINK("http://www.lxhausys.co.kr/popup/rn/download/downloadPopup.jsp?from=plwindow&amp;uu=/upload/window/REPORT/LGH-TW14-026.pdf","3등급"),IF(X193&lt;=2.3,HYPERLINK("http://www.lxhausys.co.kr/popup/rn/download/downloadPopup.jsp?from=plwindow&amp;uu=/upload/window/REPORT/LGH-TW14-026.pdf","4등급"),IF(X193&lt;=2.8,HYPERLINK("http://www.lxhausys.co.kr/popup/rn/download/downloadPopup.jsp?from=plwindow&amp;uu=/upload/window/REPORT/LGH-TW14-026.pdf","5등급"),HYPERLINK("http://www.lxhausys.co.kr/popup/rn/download/downloadPopup.jsp?from=plwindow&amp;uu=/upload/window/REPORT/LGH-TW14-026.pdf","등급외"))))))</f>
        <v>3등급</v>
      </c>
      <c r="L193" s="5">
        <v>1.379</v>
      </c>
      <c r="M193" s="5" t="s">
        <v>22</v>
      </c>
      <c r="N193" s="5" t="s">
        <v>607</v>
      </c>
      <c r="O193" s="5" t="s">
        <v>19</v>
      </c>
      <c r="P193" s="5" t="s">
        <v>19</v>
      </c>
      <c r="Q193" s="5" t="s">
        <v>19</v>
      </c>
      <c r="R193" s="5" t="s">
        <v>19</v>
      </c>
      <c r="S193" s="5" t="s">
        <v>19</v>
      </c>
      <c r="T193" s="5" t="s">
        <v>19</v>
      </c>
      <c r="U193" s="5" t="s">
        <v>19</v>
      </c>
      <c r="V193" s="5" t="s">
        <v>19</v>
      </c>
      <c r="W193" s="5" t="s">
        <v>19</v>
      </c>
      <c r="X193" s="19">
        <f t="shared" si="0"/>
        <v>1.379</v>
      </c>
    </row>
    <row r="194" spans="1:24">
      <c r="A194" t="s">
        <v>19</v>
      </c>
      <c r="B194" t="s">
        <v>48</v>
      </c>
      <c r="C194" t="s">
        <v>20</v>
      </c>
      <c r="D194" t="s">
        <v>41</v>
      </c>
      <c r="E194" t="s">
        <v>19</v>
      </c>
      <c r="F194" t="s">
        <v>19</v>
      </c>
      <c r="G194" t="s">
        <v>19</v>
      </c>
      <c r="H194" t="s">
        <v>41</v>
      </c>
      <c r="I194" t="s">
        <v>19</v>
      </c>
      <c r="J194" t="s">
        <v>19</v>
      </c>
      <c r="K194" s="21" t="str">
        <f>IF(X194&lt;=0.9,HYPERLINK("http://www.lxhausys.co.kr/popup/rn/download/downloadPopup.jsp?from=plwindow&amp;uu=/upload/window/REPORT/LGH-TW14-028.pdf","1등급"),IF(X194&lt;=1.2,HYPERLINK("http://www.lxhausys.co.kr/popup/rn/download/downloadPopup.jsp?from=plwindow&amp;uu=/upload/window/REPORT/LGH-TW14-028.pdf","2등급"),IF(X194&lt;=1.8,HYPERLINK("http://www.lxhausys.co.kr/popup/rn/download/downloadPopup.jsp?from=plwindow&amp;uu=/upload/window/REPORT/LGH-TW14-028.pdf","3등급"),IF(X194&lt;=2.3,HYPERLINK("http://www.lxhausys.co.kr/popup/rn/download/downloadPopup.jsp?from=plwindow&amp;uu=/upload/window/REPORT/LGH-TW14-028.pdf","4등급"),IF(X194&lt;=2.8,HYPERLINK("http://www.lxhausys.co.kr/popup/rn/download/downloadPopup.jsp?from=plwindow&amp;uu=/upload/window/REPORT/LGH-TW14-028.pdf","5등급"),HYPERLINK("http://www.lxhausys.co.kr/popup/rn/download/downloadPopup.jsp?from=plwindow&amp;uu=/upload/window/REPORT/LGH-TW14-028.pdf","등급외"))))))</f>
        <v>3등급</v>
      </c>
      <c r="L194" s="5">
        <v>1.4930000000000001</v>
      </c>
      <c r="M194" s="5" t="s">
        <v>22</v>
      </c>
      <c r="N194" s="5" t="s">
        <v>607</v>
      </c>
      <c r="O194" s="5" t="s">
        <v>19</v>
      </c>
      <c r="P194" s="5" t="s">
        <v>19</v>
      </c>
      <c r="Q194" s="5" t="s">
        <v>19</v>
      </c>
      <c r="R194" s="5" t="s">
        <v>19</v>
      </c>
      <c r="S194" s="5" t="s">
        <v>19</v>
      </c>
      <c r="T194" s="5" t="s">
        <v>19</v>
      </c>
      <c r="U194" s="5" t="s">
        <v>19</v>
      </c>
      <c r="V194" s="5" t="s">
        <v>19</v>
      </c>
      <c r="W194" s="5" t="s">
        <v>19</v>
      </c>
      <c r="X194" s="19">
        <f t="shared" ref="X194:X257" si="1">L194</f>
        <v>1.4930000000000001</v>
      </c>
    </row>
    <row r="195" spans="1:24">
      <c r="A195" t="s">
        <v>19</v>
      </c>
      <c r="B195" t="s">
        <v>90</v>
      </c>
      <c r="C195" t="s">
        <v>20</v>
      </c>
      <c r="D195" t="s">
        <v>41</v>
      </c>
      <c r="E195" t="s">
        <v>19</v>
      </c>
      <c r="F195" t="s">
        <v>19</v>
      </c>
      <c r="G195" t="s">
        <v>19</v>
      </c>
      <c r="H195" t="s">
        <v>41</v>
      </c>
      <c r="I195" t="s">
        <v>19</v>
      </c>
      <c r="J195" t="s">
        <v>19</v>
      </c>
      <c r="K195" s="21" t="str">
        <f>IF(X195&lt;=0.9,HYPERLINK("http://www.lxhausys.co.kr/popup/rn/download/downloadPopup.jsp?from=plwindow&amp;uu=/upload/window/REPORT/LGH-TW14-031.pdf","1등급"),IF(X195&lt;=1.2,HYPERLINK("http://www.lxhausys.co.kr/popup/rn/download/downloadPopup.jsp?from=plwindow&amp;uu=/upload/window/REPORT/LGH-TW14-031.pdf","2등급"),IF(X195&lt;=1.8,HYPERLINK("http://www.lxhausys.co.kr/popup/rn/download/downloadPopup.jsp?from=plwindow&amp;uu=/upload/window/REPORT/LGH-TW14-031.pdf","3등급"),IF(X195&lt;=2.3,HYPERLINK("http://www.lxhausys.co.kr/popup/rn/download/downloadPopup.jsp?from=plwindow&amp;uu=/upload/window/REPORT/LGH-TW14-031.pdf","4등급"),IF(X195&lt;=2.8,HYPERLINK("http://www.lxhausys.co.kr/popup/rn/download/downloadPopup.jsp?from=plwindow&amp;uu=/upload/window/REPORT/LGH-TW14-031.pdf","5등급"),HYPERLINK("http://www.lxhausys.co.kr/popup/rn/download/downloadPopup.jsp?from=plwindow&amp;uu=/upload/window/REPORT/LGH-TW14-031.pdf","등급외"))))))</f>
        <v>3등급</v>
      </c>
      <c r="L195" s="5">
        <v>1.4970000000000001</v>
      </c>
      <c r="M195" s="5" t="s">
        <v>22</v>
      </c>
      <c r="N195" s="5" t="s">
        <v>607</v>
      </c>
      <c r="O195" s="5" t="s">
        <v>19</v>
      </c>
      <c r="P195" s="5" t="s">
        <v>19</v>
      </c>
      <c r="Q195" s="5" t="s">
        <v>19</v>
      </c>
      <c r="R195" s="5" t="s">
        <v>19</v>
      </c>
      <c r="S195" s="5" t="s">
        <v>19</v>
      </c>
      <c r="T195" s="5" t="s">
        <v>19</v>
      </c>
      <c r="U195" s="5" t="s">
        <v>19</v>
      </c>
      <c r="V195" s="5" t="s">
        <v>19</v>
      </c>
      <c r="W195" s="5" t="s">
        <v>19</v>
      </c>
      <c r="X195" s="19">
        <f t="shared" si="1"/>
        <v>1.4970000000000001</v>
      </c>
    </row>
    <row r="196" spans="1:24">
      <c r="A196" t="s">
        <v>125</v>
      </c>
      <c r="B196" t="s">
        <v>19</v>
      </c>
      <c r="C196" t="s">
        <v>20</v>
      </c>
      <c r="D196" t="s">
        <v>126</v>
      </c>
      <c r="E196" t="s">
        <v>19</v>
      </c>
      <c r="F196" t="s">
        <v>19</v>
      </c>
      <c r="G196" t="s">
        <v>19</v>
      </c>
      <c r="H196" t="s">
        <v>19</v>
      </c>
      <c r="I196" t="s">
        <v>19</v>
      </c>
      <c r="J196" t="s">
        <v>19</v>
      </c>
      <c r="K196" s="21" t="str">
        <f>IF(X196&lt;=0.9,HYPERLINK("http://www.lxhausys.co.kr/popup/rn/download/downloadPopup.jsp?from=plwindow&amp;uu=/upload/window/REPORT/LGH-TW15-004.pdf","1등급"),IF(X196&lt;=1.2,HYPERLINK("http://www.lxhausys.co.kr/popup/rn/download/downloadPopup.jsp?from=plwindow&amp;uu=/upload/window/REPORT/LGH-TW15-004.pdf","2등급"),IF(X196&lt;=1.8,HYPERLINK("http://www.lxhausys.co.kr/popup/rn/download/downloadPopup.jsp?from=plwindow&amp;uu=/upload/window/REPORT/LGH-TW15-004.pdf","3등급"),IF(X196&lt;=2.3,HYPERLINK("http://www.lxhausys.co.kr/popup/rn/download/downloadPopup.jsp?from=plwindow&amp;uu=/upload/window/REPORT/LGH-TW15-004.pdf","4등급"),IF(X196&lt;=2.8,HYPERLINK("http://www.lxhausys.co.kr/popup/rn/download/downloadPopup.jsp?from=plwindow&amp;uu=/upload/window/REPORT/LGH-TW15-004.pdf","5등급"),HYPERLINK("http://www.lxhausys.co.kr/popup/rn/download/downloadPopup.jsp?from=plwindow&amp;uu=/upload/window/REPORT/LGH-TW15-004.pdf","등급외"))))))</f>
        <v>등급외</v>
      </c>
      <c r="L196" s="5">
        <v>3.2050000000000001</v>
      </c>
      <c r="M196" s="5" t="s">
        <v>103</v>
      </c>
      <c r="N196" s="5" t="s">
        <v>607</v>
      </c>
      <c r="O196" s="5" t="s">
        <v>19</v>
      </c>
      <c r="P196" s="5" t="s">
        <v>19</v>
      </c>
      <c r="Q196" s="5" t="s">
        <v>19</v>
      </c>
      <c r="R196" s="5" t="s">
        <v>19</v>
      </c>
      <c r="S196" s="5" t="s">
        <v>19</v>
      </c>
      <c r="T196" s="5" t="s">
        <v>19</v>
      </c>
      <c r="U196" s="5" t="s">
        <v>19</v>
      </c>
      <c r="V196" s="5" t="s">
        <v>19</v>
      </c>
      <c r="W196" s="5" t="s">
        <v>19</v>
      </c>
      <c r="X196" s="19">
        <f t="shared" si="1"/>
        <v>3.2050000000000001</v>
      </c>
    </row>
    <row r="197" spans="1:24">
      <c r="A197" t="s">
        <v>19</v>
      </c>
      <c r="B197" t="s">
        <v>48</v>
      </c>
      <c r="C197" t="s">
        <v>20</v>
      </c>
      <c r="D197" t="s">
        <v>25</v>
      </c>
      <c r="E197" t="s">
        <v>19</v>
      </c>
      <c r="F197" t="s">
        <v>19</v>
      </c>
      <c r="G197" t="s">
        <v>19</v>
      </c>
      <c r="H197" t="s">
        <v>64</v>
      </c>
      <c r="I197" t="s">
        <v>19</v>
      </c>
      <c r="J197" t="s">
        <v>19</v>
      </c>
      <c r="K197" s="21" t="str">
        <f>IF(X197&lt;=0.9,HYPERLINK("http://www.lxhausys.co.kr/popup/rn/download/downloadPopup.jsp?from=plwindow&amp;uu=/upload/window/REPORT/LGH-TW15-017.pdf","1등급"),IF(X197&lt;=1.2,HYPERLINK("http://www.lxhausys.co.kr/popup/rn/download/downloadPopup.jsp?from=plwindow&amp;uu=/upload/window/REPORT/LGH-TW15-017.pdf","2등급"),IF(X197&lt;=1.8,HYPERLINK("http://www.lxhausys.co.kr/popup/rn/download/downloadPopup.jsp?from=plwindow&amp;uu=/upload/window/REPORT/LGH-TW15-017.pdf","3등급"),IF(X197&lt;=2.3,HYPERLINK("http://www.lxhausys.co.kr/popup/rn/download/downloadPopup.jsp?from=plwindow&amp;uu=/upload/window/REPORT/LGH-TW15-017.pdf","4등급"),IF(X197&lt;=2.8,HYPERLINK("http://www.lxhausys.co.kr/popup/rn/download/downloadPopup.jsp?from=plwindow&amp;uu=/upload/window/REPORT/LGH-TW15-017.pdf","5등급"),HYPERLINK("http://www.lxhausys.co.kr/popup/rn/download/downloadPopup.jsp?from=plwindow&amp;uu=/upload/window/REPORT/LGH-TW15-017.pdf","등급외"))))))</f>
        <v>2등급</v>
      </c>
      <c r="L197" s="5">
        <v>1.0209999999999999</v>
      </c>
      <c r="M197" s="5" t="s">
        <v>22</v>
      </c>
      <c r="N197" s="5" t="s">
        <v>607</v>
      </c>
      <c r="O197" s="5" t="s">
        <v>19</v>
      </c>
      <c r="P197" s="5" t="s">
        <v>19</v>
      </c>
      <c r="Q197" s="5" t="s">
        <v>19</v>
      </c>
      <c r="R197" s="5" t="s">
        <v>19</v>
      </c>
      <c r="S197" s="5" t="s">
        <v>19</v>
      </c>
      <c r="T197" s="5" t="s">
        <v>19</v>
      </c>
      <c r="U197" s="5" t="s">
        <v>19</v>
      </c>
      <c r="V197" s="5" t="s">
        <v>19</v>
      </c>
      <c r="W197" s="5" t="s">
        <v>19</v>
      </c>
      <c r="X197" s="19">
        <f t="shared" si="1"/>
        <v>1.0209999999999999</v>
      </c>
    </row>
    <row r="198" spans="1:24">
      <c r="A198" t="s">
        <v>52</v>
      </c>
      <c r="B198" t="s">
        <v>19</v>
      </c>
      <c r="C198" t="s">
        <v>20</v>
      </c>
      <c r="D198" t="s">
        <v>25</v>
      </c>
      <c r="E198" t="s">
        <v>19</v>
      </c>
      <c r="F198" t="s">
        <v>19</v>
      </c>
      <c r="G198" t="s">
        <v>19</v>
      </c>
      <c r="H198" t="s">
        <v>64</v>
      </c>
      <c r="I198" t="s">
        <v>19</v>
      </c>
      <c r="J198" t="s">
        <v>19</v>
      </c>
      <c r="K198" s="21" t="str">
        <f>IF(X198&lt;=0.9,HYPERLINK("http://www.lxhausys.co.kr/popup/rn/download/downloadPopup.jsp?from=plwindow&amp;uu=/upload/window/REPORT/LGH-TW15-019.pdf","1등급"),IF(X198&lt;=1.2,HYPERLINK("http://www.lxhausys.co.kr/popup/rn/download/downloadPopup.jsp?from=plwindow&amp;uu=/upload/window/REPORT/LGH-TW15-019.pdf","2등급"),IF(X198&lt;=1.8,HYPERLINK("http://www.lxhausys.co.kr/popup/rn/download/downloadPopup.jsp?from=plwindow&amp;uu=/upload/window/REPORT/LGH-TW15-019.pdf","3등급"),IF(X198&lt;=2.3,HYPERLINK("http://www.lxhausys.co.kr/popup/rn/download/downloadPopup.jsp?from=plwindow&amp;uu=/upload/window/REPORT/LGH-TW15-019.pdf","4등급"),IF(X198&lt;=2.8,HYPERLINK("http://www.lxhausys.co.kr/popup/rn/download/downloadPopup.jsp?from=plwindow&amp;uu=/upload/window/REPORT/LGH-TW15-019.pdf","5등급"),HYPERLINK("http://www.lxhausys.co.kr/popup/rn/download/downloadPopup.jsp?from=plwindow&amp;uu=/upload/window/REPORT/LGH-TW15-019.pdf","등급외"))))))</f>
        <v>2등급</v>
      </c>
      <c r="L198" s="5">
        <v>0.9890000000000001</v>
      </c>
      <c r="M198" s="5" t="s">
        <v>22</v>
      </c>
      <c r="N198" s="5" t="s">
        <v>607</v>
      </c>
      <c r="O198" s="5" t="s">
        <v>19</v>
      </c>
      <c r="P198" s="5" t="s">
        <v>19</v>
      </c>
      <c r="Q198" s="5" t="s">
        <v>19</v>
      </c>
      <c r="R198" s="5" t="s">
        <v>19</v>
      </c>
      <c r="S198" s="5" t="s">
        <v>19</v>
      </c>
      <c r="T198" s="5" t="s">
        <v>19</v>
      </c>
      <c r="U198" s="5" t="s">
        <v>19</v>
      </c>
      <c r="V198" s="5" t="s">
        <v>19</v>
      </c>
      <c r="W198" s="5" t="s">
        <v>19</v>
      </c>
      <c r="X198" s="19">
        <f t="shared" si="1"/>
        <v>0.9890000000000001</v>
      </c>
    </row>
    <row r="199" spans="1:24">
      <c r="A199" t="s">
        <v>52</v>
      </c>
      <c r="B199" t="s">
        <v>19</v>
      </c>
      <c r="C199" t="s">
        <v>20</v>
      </c>
      <c r="D199" t="s">
        <v>25</v>
      </c>
      <c r="E199" t="s">
        <v>19</v>
      </c>
      <c r="F199" t="s">
        <v>19</v>
      </c>
      <c r="G199" t="s">
        <v>19</v>
      </c>
      <c r="H199" t="s">
        <v>25</v>
      </c>
      <c r="I199" t="s">
        <v>19</v>
      </c>
      <c r="J199" t="s">
        <v>19</v>
      </c>
      <c r="K199" s="21" t="str">
        <f>IF(X199&lt;=0.9,HYPERLINK("http://www.lxhausys.co.kr/popup/rn/download/downloadPopup.jsp?from=plwindow&amp;uu=/upload/window/REPORT/LGH-TW15-020.pdf","1등급"),IF(X199&lt;=1.2,HYPERLINK("http://www.lxhausys.co.kr/popup/rn/download/downloadPopup.jsp?from=plwindow&amp;uu=/upload/window/REPORT/LGH-TW15-020.pdf","2등급"),IF(X199&lt;=1.8,HYPERLINK("http://www.lxhausys.co.kr/popup/rn/download/downloadPopup.jsp?from=plwindow&amp;uu=/upload/window/REPORT/LGH-TW15-020.pdf","3등급"),IF(X199&lt;=2.3,HYPERLINK("http://www.lxhausys.co.kr/popup/rn/download/downloadPopup.jsp?from=plwindow&amp;uu=/upload/window/REPORT/LGH-TW15-020.pdf","4등급"),IF(X199&lt;=2.8,HYPERLINK("http://www.lxhausys.co.kr/popup/rn/download/downloadPopup.jsp?from=plwindow&amp;uu=/upload/window/REPORT/LGH-TW15-020.pdf","5등급"),HYPERLINK("http://www.lxhausys.co.kr/popup/rn/download/downloadPopup.jsp?from=plwindow&amp;uu=/upload/window/REPORT/LGH-TW15-020.pdf","등급외"))))))</f>
        <v>3등급</v>
      </c>
      <c r="L199" s="5">
        <v>1.28</v>
      </c>
      <c r="M199" s="5" t="s">
        <v>22</v>
      </c>
      <c r="N199" s="5" t="s">
        <v>607</v>
      </c>
      <c r="O199" s="5" t="s">
        <v>19</v>
      </c>
      <c r="P199" s="5" t="s">
        <v>19</v>
      </c>
      <c r="Q199" s="5" t="s">
        <v>19</v>
      </c>
      <c r="R199" s="5" t="s">
        <v>19</v>
      </c>
      <c r="S199" s="5" t="s">
        <v>19</v>
      </c>
      <c r="T199" s="5" t="s">
        <v>19</v>
      </c>
      <c r="U199" s="5" t="s">
        <v>19</v>
      </c>
      <c r="V199" s="5" t="s">
        <v>19</v>
      </c>
      <c r="W199" s="5" t="s">
        <v>19</v>
      </c>
      <c r="X199" s="19">
        <f t="shared" si="1"/>
        <v>1.28</v>
      </c>
    </row>
    <row r="200" spans="1:24">
      <c r="A200" t="s">
        <v>69</v>
      </c>
      <c r="B200" t="s">
        <v>19</v>
      </c>
      <c r="C200" t="s">
        <v>20</v>
      </c>
      <c r="D200" t="s">
        <v>70</v>
      </c>
      <c r="E200" t="s">
        <v>19</v>
      </c>
      <c r="F200" t="s">
        <v>19</v>
      </c>
      <c r="G200" t="s">
        <v>19</v>
      </c>
      <c r="H200" t="s">
        <v>19</v>
      </c>
      <c r="I200" t="s">
        <v>19</v>
      </c>
      <c r="J200" t="s">
        <v>19</v>
      </c>
      <c r="K200" s="21" t="str">
        <f>IF(X200&lt;=0.9,HYPERLINK("http://www.lxhausys.co.kr/popup/rn/download/downloadPopup.jsp?from=plwindow&amp;uu=/upload/window/REPORT/LGH-TW15-021.pdf","1등급"),IF(X200&lt;=1.2,HYPERLINK("http://www.lxhausys.co.kr/popup/rn/download/downloadPopup.jsp?from=plwindow&amp;uu=/upload/window/REPORT/LGH-TW15-021.pdf","2등급"),IF(X200&lt;=1.8,HYPERLINK("http://www.lxhausys.co.kr/popup/rn/download/downloadPopup.jsp?from=plwindow&amp;uu=/upload/window/REPORT/LGH-TW15-021.pdf","3등급"),IF(X200&lt;=2.3,HYPERLINK("http://www.lxhausys.co.kr/popup/rn/download/downloadPopup.jsp?from=plwindow&amp;uu=/upload/window/REPORT/LGH-TW15-021.pdf","4등급"),IF(X200&lt;=2.8,HYPERLINK("http://www.lxhausys.co.kr/popup/rn/download/downloadPopup.jsp?from=plwindow&amp;uu=/upload/window/REPORT/LGH-TW15-021.pdf","5등급"),HYPERLINK("http://www.lxhausys.co.kr/popup/rn/download/downloadPopup.jsp?from=plwindow&amp;uu=/upload/window/REPORT/LGH-TW15-021.pdf","등급외"))))))</f>
        <v>3등급</v>
      </c>
      <c r="L200" s="5">
        <v>1.3069999999999999</v>
      </c>
      <c r="M200" s="5" t="s">
        <v>22</v>
      </c>
      <c r="N200" s="5" t="s">
        <v>607</v>
      </c>
      <c r="O200" s="5" t="s">
        <v>19</v>
      </c>
      <c r="P200" s="5" t="s">
        <v>19</v>
      </c>
      <c r="Q200" s="5" t="s">
        <v>19</v>
      </c>
      <c r="R200" s="5" t="s">
        <v>19</v>
      </c>
      <c r="S200" s="5" t="s">
        <v>19</v>
      </c>
      <c r="T200" s="5" t="s">
        <v>19</v>
      </c>
      <c r="U200" s="5" t="s">
        <v>19</v>
      </c>
      <c r="V200" s="5" t="s">
        <v>19</v>
      </c>
      <c r="W200" s="5" t="s">
        <v>19</v>
      </c>
      <c r="X200" s="19">
        <f t="shared" si="1"/>
        <v>1.3069999999999999</v>
      </c>
    </row>
    <row r="201" spans="1:24">
      <c r="A201" t="s">
        <v>69</v>
      </c>
      <c r="B201" t="s">
        <v>19</v>
      </c>
      <c r="C201" t="s">
        <v>20</v>
      </c>
      <c r="D201" t="s">
        <v>118</v>
      </c>
      <c r="E201" t="s">
        <v>19</v>
      </c>
      <c r="F201" t="s">
        <v>19</v>
      </c>
      <c r="G201" t="s">
        <v>19</v>
      </c>
      <c r="H201" t="s">
        <v>19</v>
      </c>
      <c r="I201" t="s">
        <v>19</v>
      </c>
      <c r="J201" t="s">
        <v>19</v>
      </c>
      <c r="K201" s="21" t="str">
        <f>IF(X201&lt;=0.9,HYPERLINK("http://www.lxhausys.co.kr/popup/rn/download/downloadPopup.jsp?from=plwindow&amp;uu=/upload/window/REPORT/LGH-TW15-023.pdf","1등급"),IF(X201&lt;=1.2,HYPERLINK("http://www.lxhausys.co.kr/popup/rn/download/downloadPopup.jsp?from=plwindow&amp;uu=/upload/window/REPORT/LGH-TW15-023.pdf","2등급"),IF(X201&lt;=1.8,HYPERLINK("http://www.lxhausys.co.kr/popup/rn/download/downloadPopup.jsp?from=plwindow&amp;uu=/upload/window/REPORT/LGH-TW15-023.pdf","3등급"),IF(X201&lt;=2.3,HYPERLINK("http://www.lxhausys.co.kr/popup/rn/download/downloadPopup.jsp?from=plwindow&amp;uu=/upload/window/REPORT/LGH-TW15-023.pdf","4등급"),IF(X201&lt;=2.8,HYPERLINK("http://www.lxhausys.co.kr/popup/rn/download/downloadPopup.jsp?from=plwindow&amp;uu=/upload/window/REPORT/LGH-TW15-023.pdf","5등급"),HYPERLINK("http://www.lxhausys.co.kr/popup/rn/download/downloadPopup.jsp?from=plwindow&amp;uu=/upload/window/REPORT/LGH-TW15-023.pdf","등급외"))))))</f>
        <v>2등급</v>
      </c>
      <c r="L201" s="5">
        <v>1.1874</v>
      </c>
      <c r="M201" s="5" t="s">
        <v>22</v>
      </c>
      <c r="N201" s="5" t="s">
        <v>607</v>
      </c>
      <c r="O201" s="5" t="s">
        <v>19</v>
      </c>
      <c r="P201" s="5" t="s">
        <v>19</v>
      </c>
      <c r="Q201" s="5" t="s">
        <v>19</v>
      </c>
      <c r="R201" s="5" t="s">
        <v>19</v>
      </c>
      <c r="S201" s="5" t="s">
        <v>19</v>
      </c>
      <c r="T201" s="5" t="s">
        <v>19</v>
      </c>
      <c r="U201" s="5" t="s">
        <v>19</v>
      </c>
      <c r="V201" s="5" t="s">
        <v>19</v>
      </c>
      <c r="W201" s="5" t="s">
        <v>19</v>
      </c>
      <c r="X201" s="19">
        <f t="shared" si="1"/>
        <v>1.1874</v>
      </c>
    </row>
    <row r="202" spans="1:24">
      <c r="A202" t="s">
        <v>18</v>
      </c>
      <c r="B202" t="s">
        <v>19</v>
      </c>
      <c r="C202" t="s">
        <v>20</v>
      </c>
      <c r="D202" t="s">
        <v>25</v>
      </c>
      <c r="E202" t="s">
        <v>19</v>
      </c>
      <c r="F202" t="s">
        <v>19</v>
      </c>
      <c r="G202" t="s">
        <v>19</v>
      </c>
      <c r="H202" t="s">
        <v>19</v>
      </c>
      <c r="I202" t="s">
        <v>19</v>
      </c>
      <c r="J202" t="s">
        <v>19</v>
      </c>
      <c r="K202" s="21" t="str">
        <f>IF(X202&lt;=0.9,HYPERLINK("http://www.lxhausys.co.kr/popup/rn/download/downloadPopup.jsp?from=plwindow&amp;uu=/upload/window/REPORT/LGH-TW15-030.pdf","1등급"),IF(X202&lt;=1.2,HYPERLINK("http://www.lxhausys.co.kr/popup/rn/download/downloadPopup.jsp?from=plwindow&amp;uu=/upload/window/REPORT/LGH-TW15-030.pdf","2등급"),IF(X202&lt;=1.8,HYPERLINK("http://www.lxhausys.co.kr/popup/rn/download/downloadPopup.jsp?from=plwindow&amp;uu=/upload/window/REPORT/LGH-TW15-030.pdf","3등급"),IF(X202&lt;=2.3,HYPERLINK("http://www.lxhausys.co.kr/popup/rn/download/downloadPopup.jsp?from=plwindow&amp;uu=/upload/window/REPORT/LGH-TW15-030.pdf","4등급"),IF(X202&lt;=2.8,HYPERLINK("http://www.lxhausys.co.kr/popup/rn/download/downloadPopup.jsp?from=plwindow&amp;uu=/upload/window/REPORT/LGH-TW15-030.pdf","5등급"),HYPERLINK("http://www.lxhausys.co.kr/popup/rn/download/downloadPopup.jsp?from=plwindow&amp;uu=/upload/window/REPORT/LGH-TW15-030.pdf","등급외"))))))</f>
        <v>5등급</v>
      </c>
      <c r="L202" s="5">
        <v>2.6219000000000001</v>
      </c>
      <c r="M202" s="5" t="s">
        <v>22</v>
      </c>
      <c r="N202" s="5" t="s">
        <v>607</v>
      </c>
      <c r="O202" s="5" t="s">
        <v>19</v>
      </c>
      <c r="P202" s="5" t="s">
        <v>19</v>
      </c>
      <c r="Q202" s="5" t="s">
        <v>19</v>
      </c>
      <c r="R202" s="5" t="s">
        <v>19</v>
      </c>
      <c r="S202" s="5" t="s">
        <v>19</v>
      </c>
      <c r="T202" s="5" t="s">
        <v>19</v>
      </c>
      <c r="U202" s="5" t="s">
        <v>19</v>
      </c>
      <c r="V202" s="5" t="s">
        <v>19</v>
      </c>
      <c r="W202" s="5" t="s">
        <v>19</v>
      </c>
      <c r="X202" s="19">
        <f t="shared" si="1"/>
        <v>2.6219000000000001</v>
      </c>
    </row>
    <row r="203" spans="1:24">
      <c r="A203" t="s">
        <v>18</v>
      </c>
      <c r="B203" t="s">
        <v>19</v>
      </c>
      <c r="C203" t="s">
        <v>20</v>
      </c>
      <c r="D203" t="s">
        <v>64</v>
      </c>
      <c r="E203" t="s">
        <v>19</v>
      </c>
      <c r="F203" t="s">
        <v>19</v>
      </c>
      <c r="G203" t="s">
        <v>19</v>
      </c>
      <c r="H203" t="s">
        <v>19</v>
      </c>
      <c r="I203" t="s">
        <v>19</v>
      </c>
      <c r="J203" t="s">
        <v>19</v>
      </c>
      <c r="K203" s="21" t="str">
        <f>IF(X203&lt;=0.9,HYPERLINK("http://www.lxhausys.co.kr/popup/rn/download/downloadPopup.jsp?from=plwindow&amp;uu=/upload/window/REPORT/LGH-TW15-031.pdf","1등급"),IF(X203&lt;=1.2,HYPERLINK("http://www.lxhausys.co.kr/popup/rn/download/downloadPopup.jsp?from=plwindow&amp;uu=/upload/window/REPORT/LGH-TW15-031.pdf","2등급"),IF(X203&lt;=1.8,HYPERLINK("http://www.lxhausys.co.kr/popup/rn/download/downloadPopup.jsp?from=plwindow&amp;uu=/upload/window/REPORT/LGH-TW15-031.pdf","3등급"),IF(X203&lt;=2.3,HYPERLINK("http://www.lxhausys.co.kr/popup/rn/download/downloadPopup.jsp?from=plwindow&amp;uu=/upload/window/REPORT/LGH-TW15-031.pdf","4등급"),IF(X203&lt;=2.8,HYPERLINK("http://www.lxhausys.co.kr/popup/rn/download/downloadPopup.jsp?from=plwindow&amp;uu=/upload/window/REPORT/LGH-TW15-031.pdf","5등급"),HYPERLINK("http://www.lxhausys.co.kr/popup/rn/download/downloadPopup.jsp?from=plwindow&amp;uu=/upload/window/REPORT/LGH-TW15-031.pdf","등급외"))))))</f>
        <v>3등급</v>
      </c>
      <c r="L203" s="5">
        <v>1.6621999999999999</v>
      </c>
      <c r="M203" s="5" t="s">
        <v>22</v>
      </c>
      <c r="N203" s="5" t="s">
        <v>607</v>
      </c>
      <c r="O203" s="5" t="s">
        <v>19</v>
      </c>
      <c r="P203" s="5" t="s">
        <v>19</v>
      </c>
      <c r="Q203" s="5" t="s">
        <v>19</v>
      </c>
      <c r="R203" s="5" t="s">
        <v>19</v>
      </c>
      <c r="S203" s="5" t="s">
        <v>19</v>
      </c>
      <c r="T203" s="5" t="s">
        <v>19</v>
      </c>
      <c r="U203" s="5" t="s">
        <v>19</v>
      </c>
      <c r="V203" s="5" t="s">
        <v>19</v>
      </c>
      <c r="W203" s="5" t="s">
        <v>19</v>
      </c>
      <c r="X203" s="19">
        <f t="shared" si="1"/>
        <v>1.6621999999999999</v>
      </c>
    </row>
    <row r="204" spans="1:24">
      <c r="A204" t="s">
        <v>18</v>
      </c>
      <c r="B204" t="s">
        <v>19</v>
      </c>
      <c r="C204" t="s">
        <v>20</v>
      </c>
      <c r="D204" t="s">
        <v>53</v>
      </c>
      <c r="E204" t="s">
        <v>19</v>
      </c>
      <c r="F204" t="s">
        <v>19</v>
      </c>
      <c r="G204" t="s">
        <v>19</v>
      </c>
      <c r="H204" t="s">
        <v>19</v>
      </c>
      <c r="I204" t="s">
        <v>19</v>
      </c>
      <c r="J204" t="s">
        <v>19</v>
      </c>
      <c r="K204" s="21" t="str">
        <f>IF(X204&lt;=0.9,HYPERLINK("http://www.lxhausys.co.kr/popup/rn/download/downloadPopup.jsp?from=plwindow&amp;uu=/upload/window/REPORT/LGH-TW15-032.pdf","1등급"),IF(X204&lt;=1.2,HYPERLINK("http://www.lxhausys.co.kr/popup/rn/download/downloadPopup.jsp?from=plwindow&amp;uu=/upload/window/REPORT/LGH-TW15-032.pdf","2등급"),IF(X204&lt;=1.8,HYPERLINK("http://www.lxhausys.co.kr/popup/rn/download/downloadPopup.jsp?from=plwindow&amp;uu=/upload/window/REPORT/LGH-TW15-032.pdf","3등급"),IF(X204&lt;=2.3,HYPERLINK("http://www.lxhausys.co.kr/popup/rn/download/downloadPopup.jsp?from=plwindow&amp;uu=/upload/window/REPORT/LGH-TW15-032.pdf","4등급"),IF(X204&lt;=2.8,HYPERLINK("http://www.lxhausys.co.kr/popup/rn/download/downloadPopup.jsp?from=plwindow&amp;uu=/upload/window/REPORT/LGH-TW15-032.pdf","5등급"),HYPERLINK("http://www.lxhausys.co.kr/popup/rn/download/downloadPopup.jsp?from=plwindow&amp;uu=/upload/window/REPORT/LGH-TW15-032.pdf","등급외"))))))</f>
        <v>3등급</v>
      </c>
      <c r="L204" s="5">
        <v>1.5076000000000001</v>
      </c>
      <c r="M204" s="5" t="s">
        <v>22</v>
      </c>
      <c r="N204" s="5" t="s">
        <v>607</v>
      </c>
      <c r="O204" s="5" t="s">
        <v>19</v>
      </c>
      <c r="P204" s="5" t="s">
        <v>19</v>
      </c>
      <c r="Q204" s="5" t="s">
        <v>19</v>
      </c>
      <c r="R204" s="5" t="s">
        <v>19</v>
      </c>
      <c r="S204" s="5" t="s">
        <v>19</v>
      </c>
      <c r="T204" s="5" t="s">
        <v>19</v>
      </c>
      <c r="U204" s="5" t="s">
        <v>19</v>
      </c>
      <c r="V204" s="5" t="s">
        <v>19</v>
      </c>
      <c r="W204" s="5" t="s">
        <v>19</v>
      </c>
      <c r="X204" s="19">
        <f t="shared" si="1"/>
        <v>1.5076000000000001</v>
      </c>
    </row>
    <row r="205" spans="1:24">
      <c r="A205" t="s">
        <v>52</v>
      </c>
      <c r="B205" t="s">
        <v>19</v>
      </c>
      <c r="C205" t="s">
        <v>20</v>
      </c>
      <c r="D205" t="s">
        <v>25</v>
      </c>
      <c r="E205" t="s">
        <v>19</v>
      </c>
      <c r="F205" t="s">
        <v>19</v>
      </c>
      <c r="G205" t="s">
        <v>19</v>
      </c>
      <c r="H205" t="s">
        <v>25</v>
      </c>
      <c r="I205" t="s">
        <v>19</v>
      </c>
      <c r="J205" t="s">
        <v>19</v>
      </c>
      <c r="K205" s="21" t="str">
        <f>IF(X205&lt;=0.9,HYPERLINK("http://www.lxhausys.co.kr/popup/rn/download/downloadPopup.jsp?from=plwindow&amp;uu=/upload/window/REPORT/LGH-TW15-033.pdf","1등급"),IF(X205&lt;=1.2,HYPERLINK("http://www.lxhausys.co.kr/popup/rn/download/downloadPopup.jsp?from=plwindow&amp;uu=/upload/window/REPORT/LGH-TW15-033.pdf","2등급"),IF(X205&lt;=1.8,HYPERLINK("http://www.lxhausys.co.kr/popup/rn/download/downloadPopup.jsp?from=plwindow&amp;uu=/upload/window/REPORT/LGH-TW15-033.pdf","3등급"),IF(X205&lt;=2.3,HYPERLINK("http://www.lxhausys.co.kr/popup/rn/download/downloadPopup.jsp?from=plwindow&amp;uu=/upload/window/REPORT/LGH-TW15-033.pdf","4등급"),IF(X205&lt;=2.8,HYPERLINK("http://www.lxhausys.co.kr/popup/rn/download/downloadPopup.jsp?from=plwindow&amp;uu=/upload/window/REPORT/LGH-TW15-033.pdf","5등급"),HYPERLINK("http://www.lxhausys.co.kr/popup/rn/download/downloadPopup.jsp?from=plwindow&amp;uu=/upload/window/REPORT/LGH-TW15-033.pdf","등급외"))))))</f>
        <v>3등급</v>
      </c>
      <c r="L205" s="5">
        <v>1.2173</v>
      </c>
      <c r="M205" s="5" t="s">
        <v>22</v>
      </c>
      <c r="N205" s="5" t="s">
        <v>607</v>
      </c>
      <c r="O205" s="5" t="s">
        <v>19</v>
      </c>
      <c r="P205" s="5" t="s">
        <v>19</v>
      </c>
      <c r="Q205" s="5" t="s">
        <v>19</v>
      </c>
      <c r="R205" s="5" t="s">
        <v>19</v>
      </c>
      <c r="S205" s="5" t="s">
        <v>19</v>
      </c>
      <c r="T205" s="5" t="s">
        <v>19</v>
      </c>
      <c r="U205" s="5" t="s">
        <v>19</v>
      </c>
      <c r="V205" s="5" t="s">
        <v>19</v>
      </c>
      <c r="W205" s="5" t="s">
        <v>19</v>
      </c>
      <c r="X205" s="19">
        <f t="shared" si="1"/>
        <v>1.2173</v>
      </c>
    </row>
    <row r="206" spans="1:24">
      <c r="A206" t="s">
        <v>52</v>
      </c>
      <c r="B206" t="s">
        <v>19</v>
      </c>
      <c r="C206" t="s">
        <v>20</v>
      </c>
      <c r="D206" t="s">
        <v>25</v>
      </c>
      <c r="E206" t="s">
        <v>19</v>
      </c>
      <c r="F206" t="s">
        <v>19</v>
      </c>
      <c r="G206" t="s">
        <v>19</v>
      </c>
      <c r="H206" t="s">
        <v>28</v>
      </c>
      <c r="I206" t="s">
        <v>19</v>
      </c>
      <c r="J206" t="s">
        <v>19</v>
      </c>
      <c r="K206" s="21" t="str">
        <f>IF(X206&lt;=0.9,HYPERLINK("http://www.lxhausys.co.kr/popup/rn/download/downloadPopup.jsp?from=plwindow&amp;uu=/upload/window/REPORT/LGH-TW15-034.pdf","1등급"),IF(X206&lt;=1.2,HYPERLINK("http://www.lxhausys.co.kr/popup/rn/download/downloadPopup.jsp?from=plwindow&amp;uu=/upload/window/REPORT/LGH-TW15-034.pdf","2등급"),IF(X206&lt;=1.8,HYPERLINK("http://www.lxhausys.co.kr/popup/rn/download/downloadPopup.jsp?from=plwindow&amp;uu=/upload/window/REPORT/LGH-TW15-034.pdf","3등급"),IF(X206&lt;=2.3,HYPERLINK("http://www.lxhausys.co.kr/popup/rn/download/downloadPopup.jsp?from=plwindow&amp;uu=/upload/window/REPORT/LGH-TW15-034.pdf","4등급"),IF(X206&lt;=2.8,HYPERLINK("http://www.lxhausys.co.kr/popup/rn/download/downloadPopup.jsp?from=plwindow&amp;uu=/upload/window/REPORT/LGH-TW15-034.pdf","5등급"),HYPERLINK("http://www.lxhausys.co.kr/popup/rn/download/downloadPopup.jsp?from=plwindow&amp;uu=/upload/window/REPORT/LGH-TW15-034.pdf","등급외"))))))</f>
        <v>2등급</v>
      </c>
      <c r="L206" s="5">
        <v>1.0119</v>
      </c>
      <c r="M206" s="5" t="s">
        <v>22</v>
      </c>
      <c r="N206" s="5" t="s">
        <v>607</v>
      </c>
      <c r="O206" s="5" t="s">
        <v>19</v>
      </c>
      <c r="P206" s="5" t="s">
        <v>19</v>
      </c>
      <c r="Q206" s="5" t="s">
        <v>19</v>
      </c>
      <c r="R206" s="5" t="s">
        <v>19</v>
      </c>
      <c r="S206" s="5" t="s">
        <v>19</v>
      </c>
      <c r="T206" s="5" t="s">
        <v>19</v>
      </c>
      <c r="U206" s="5" t="s">
        <v>19</v>
      </c>
      <c r="V206" s="5" t="s">
        <v>19</v>
      </c>
      <c r="W206" s="5" t="s">
        <v>19</v>
      </c>
      <c r="X206" s="19">
        <f t="shared" si="1"/>
        <v>1.0119</v>
      </c>
    </row>
    <row r="207" spans="1:24">
      <c r="A207" t="s">
        <v>52</v>
      </c>
      <c r="B207" t="s">
        <v>19</v>
      </c>
      <c r="C207" t="s">
        <v>20</v>
      </c>
      <c r="D207" t="s">
        <v>25</v>
      </c>
      <c r="E207" t="s">
        <v>19</v>
      </c>
      <c r="F207" t="s">
        <v>19</v>
      </c>
      <c r="G207" t="s">
        <v>19</v>
      </c>
      <c r="H207" t="s">
        <v>21</v>
      </c>
      <c r="I207" t="s">
        <v>19</v>
      </c>
      <c r="J207" t="s">
        <v>19</v>
      </c>
      <c r="K207" s="21" t="str">
        <f>IF(X207&lt;=0.9,HYPERLINK("http://www.lxhausys.co.kr/popup/rn/download/downloadPopup.jsp?from=plwindow&amp;uu=/upload/window/REPORT/LGH-TW15-035.pdf","1등급"),IF(X207&lt;=1.2,HYPERLINK("http://www.lxhausys.co.kr/popup/rn/download/downloadPopup.jsp?from=plwindow&amp;uu=/upload/window/REPORT/LGH-TW15-035.pdf","2등급"),IF(X207&lt;=1.8,HYPERLINK("http://www.lxhausys.co.kr/popup/rn/download/downloadPopup.jsp?from=plwindow&amp;uu=/upload/window/REPORT/LGH-TW15-035.pdf","3등급"),IF(X207&lt;=2.3,HYPERLINK("http://www.lxhausys.co.kr/popup/rn/download/downloadPopup.jsp?from=plwindow&amp;uu=/upload/window/REPORT/LGH-TW15-035.pdf","4등급"),IF(X207&lt;=2.8,HYPERLINK("http://www.lxhausys.co.kr/popup/rn/download/downloadPopup.jsp?from=plwindow&amp;uu=/upload/window/REPORT/LGH-TW15-035.pdf","5등급"),HYPERLINK("http://www.lxhausys.co.kr/popup/rn/download/downloadPopup.jsp?from=plwindow&amp;uu=/upload/window/REPORT/LGH-TW15-035.pdf","등급외"))))))</f>
        <v>2등급</v>
      </c>
      <c r="L207" s="5">
        <v>0.91080000000000005</v>
      </c>
      <c r="M207" s="5" t="s">
        <v>22</v>
      </c>
      <c r="N207" s="5" t="s">
        <v>607</v>
      </c>
      <c r="O207" s="5" t="s">
        <v>19</v>
      </c>
      <c r="P207" s="5" t="s">
        <v>19</v>
      </c>
      <c r="Q207" s="5" t="s">
        <v>19</v>
      </c>
      <c r="R207" s="5" t="s">
        <v>19</v>
      </c>
      <c r="S207" s="5" t="s">
        <v>19</v>
      </c>
      <c r="T207" s="5" t="s">
        <v>19</v>
      </c>
      <c r="U207" s="5" t="s">
        <v>19</v>
      </c>
      <c r="V207" s="5" t="s">
        <v>19</v>
      </c>
      <c r="W207" s="5" t="s">
        <v>19</v>
      </c>
      <c r="X207" s="19">
        <f t="shared" si="1"/>
        <v>0.91080000000000005</v>
      </c>
    </row>
    <row r="208" spans="1:24">
      <c r="A208" t="s">
        <v>52</v>
      </c>
      <c r="B208" t="s">
        <v>19</v>
      </c>
      <c r="C208" t="s">
        <v>20</v>
      </c>
      <c r="D208" t="s">
        <v>28</v>
      </c>
      <c r="E208" t="s">
        <v>19</v>
      </c>
      <c r="F208" t="s">
        <v>19</v>
      </c>
      <c r="G208" t="s">
        <v>19</v>
      </c>
      <c r="H208" t="s">
        <v>28</v>
      </c>
      <c r="I208" t="s">
        <v>19</v>
      </c>
      <c r="J208" t="s">
        <v>19</v>
      </c>
      <c r="K208" s="21" t="str">
        <f>IF(X208&lt;=0.9,HYPERLINK("http://www.lxhausys.co.kr/popup/rn/download/downloadPopup.jsp?from=plwindow&amp;uu=/upload/window/REPORT/LGH-TW15-036.pdf","1등급"),IF(X208&lt;=1.2,HYPERLINK("http://www.lxhausys.co.kr/popup/rn/download/downloadPopup.jsp?from=plwindow&amp;uu=/upload/window/REPORT/LGH-TW15-036.pdf","2등급"),IF(X208&lt;=1.8,HYPERLINK("http://www.lxhausys.co.kr/popup/rn/download/downloadPopup.jsp?from=plwindow&amp;uu=/upload/window/REPORT/LGH-TW15-036.pdf","3등급"),IF(X208&lt;=2.3,HYPERLINK("http://www.lxhausys.co.kr/popup/rn/download/downloadPopup.jsp?from=plwindow&amp;uu=/upload/window/REPORT/LGH-TW15-036.pdf","4등급"),IF(X208&lt;=2.8,HYPERLINK("http://www.lxhausys.co.kr/popup/rn/download/downloadPopup.jsp?from=plwindow&amp;uu=/upload/window/REPORT/LGH-TW15-036.pdf","5등급"),HYPERLINK("http://www.lxhausys.co.kr/popup/rn/download/downloadPopup.jsp?from=plwindow&amp;uu=/upload/window/REPORT/LGH-TW15-036.pdf","등급외"))))))</f>
        <v>1등급</v>
      </c>
      <c r="L208" s="5">
        <v>0.85870000000000002</v>
      </c>
      <c r="M208" s="5" t="s">
        <v>22</v>
      </c>
      <c r="N208" s="5" t="s">
        <v>607</v>
      </c>
      <c r="O208" s="5" t="s">
        <v>19</v>
      </c>
      <c r="P208" s="5" t="s">
        <v>19</v>
      </c>
      <c r="Q208" s="5" t="s">
        <v>19</v>
      </c>
      <c r="R208" s="5" t="s">
        <v>19</v>
      </c>
      <c r="S208" s="5" t="s">
        <v>19</v>
      </c>
      <c r="T208" s="5" t="s">
        <v>19</v>
      </c>
      <c r="U208" s="5" t="s">
        <v>19</v>
      </c>
      <c r="V208" s="5" t="s">
        <v>19</v>
      </c>
      <c r="W208" s="5" t="s">
        <v>19</v>
      </c>
      <c r="X208" s="19">
        <f t="shared" si="1"/>
        <v>0.85870000000000002</v>
      </c>
    </row>
    <row r="209" spans="1:24">
      <c r="A209" t="s">
        <v>125</v>
      </c>
      <c r="B209" t="s">
        <v>19</v>
      </c>
      <c r="C209" t="s">
        <v>20</v>
      </c>
      <c r="D209" t="s">
        <v>25</v>
      </c>
      <c r="E209" t="s">
        <v>19</v>
      </c>
      <c r="F209" t="s">
        <v>19</v>
      </c>
      <c r="G209" t="s">
        <v>19</v>
      </c>
      <c r="H209" t="s">
        <v>19</v>
      </c>
      <c r="I209" t="s">
        <v>19</v>
      </c>
      <c r="J209" t="s">
        <v>19</v>
      </c>
      <c r="K209" s="21" t="str">
        <f>IF(X209&lt;=0.9,HYPERLINK("http://www.lxhausys.co.kr/popup/rn/download/downloadPopup.jsp?from=plwindow&amp;uu=/upload/window/REPORT/LGH-TW15-037.pdf","1등급"),IF(X209&lt;=1.2,HYPERLINK("http://www.lxhausys.co.kr/popup/rn/download/downloadPopup.jsp?from=plwindow&amp;uu=/upload/window/REPORT/LGH-TW15-037.pdf","2등급"),IF(X209&lt;=1.8,HYPERLINK("http://www.lxhausys.co.kr/popup/rn/download/downloadPopup.jsp?from=plwindow&amp;uu=/upload/window/REPORT/LGH-TW15-037.pdf","3등급"),IF(X209&lt;=2.3,HYPERLINK("http://www.lxhausys.co.kr/popup/rn/download/downloadPopup.jsp?from=plwindow&amp;uu=/upload/window/REPORT/LGH-TW15-037.pdf","4등급"),IF(X209&lt;=2.8,HYPERLINK("http://www.lxhausys.co.kr/popup/rn/download/downloadPopup.jsp?from=plwindow&amp;uu=/upload/window/REPORT/LGH-TW15-037.pdf","5등급"),HYPERLINK("http://www.lxhausys.co.kr/popup/rn/download/downloadPopup.jsp?from=plwindow&amp;uu=/upload/window/REPORT/LGH-TW15-037.pdf","등급외"))))))</f>
        <v>5등급</v>
      </c>
      <c r="L209" s="5">
        <v>2.73</v>
      </c>
      <c r="M209" s="5" t="s">
        <v>103</v>
      </c>
      <c r="N209" s="5" t="s">
        <v>607</v>
      </c>
      <c r="O209" s="5" t="s">
        <v>19</v>
      </c>
      <c r="P209" s="5" t="s">
        <v>19</v>
      </c>
      <c r="Q209" s="5" t="s">
        <v>19</v>
      </c>
      <c r="R209" s="5" t="s">
        <v>19</v>
      </c>
      <c r="S209" s="5" t="s">
        <v>19</v>
      </c>
      <c r="T209" s="5" t="s">
        <v>19</v>
      </c>
      <c r="U209" s="5" t="s">
        <v>19</v>
      </c>
      <c r="V209" s="5" t="s">
        <v>19</v>
      </c>
      <c r="W209" s="5" t="s">
        <v>19</v>
      </c>
      <c r="X209" s="19">
        <f t="shared" si="1"/>
        <v>2.73</v>
      </c>
    </row>
    <row r="210" spans="1:24">
      <c r="A210" t="s">
        <v>125</v>
      </c>
      <c r="B210" t="s">
        <v>19</v>
      </c>
      <c r="C210" t="s">
        <v>20</v>
      </c>
      <c r="D210" t="s">
        <v>28</v>
      </c>
      <c r="E210" t="s">
        <v>19</v>
      </c>
      <c r="F210" t="s">
        <v>19</v>
      </c>
      <c r="G210" t="s">
        <v>19</v>
      </c>
      <c r="H210" t="s">
        <v>19</v>
      </c>
      <c r="I210" t="s">
        <v>19</v>
      </c>
      <c r="J210" t="s">
        <v>19</v>
      </c>
      <c r="K210" s="21" t="str">
        <f>IF(X210&lt;=0.9,HYPERLINK("http://www.lxhausys.co.kr/popup/rn/download/downloadPopup.jsp?from=plwindow&amp;uu=/upload/window/REPORT/LGH-TW15-038.pdf","1등급"),IF(X210&lt;=1.2,HYPERLINK("http://www.lxhausys.co.kr/popup/rn/download/downloadPopup.jsp?from=plwindow&amp;uu=/upload/window/REPORT/LGH-TW15-038.pdf","2등급"),IF(X210&lt;=1.8,HYPERLINK("http://www.lxhausys.co.kr/popup/rn/download/downloadPopup.jsp?from=plwindow&amp;uu=/upload/window/REPORT/LGH-TW15-038.pdf","3등급"),IF(X210&lt;=2.3,HYPERLINK("http://www.lxhausys.co.kr/popup/rn/download/downloadPopup.jsp?from=plwindow&amp;uu=/upload/window/REPORT/LGH-TW15-038.pdf","4등급"),IF(X210&lt;=2.8,HYPERLINK("http://www.lxhausys.co.kr/popup/rn/download/downloadPopup.jsp?from=plwindow&amp;uu=/upload/window/REPORT/LGH-TW15-038.pdf","5등급"),HYPERLINK("http://www.lxhausys.co.kr/popup/rn/download/downloadPopup.jsp?from=plwindow&amp;uu=/upload/window/REPORT/LGH-TW15-038.pdf","등급외"))))))</f>
        <v>4등급</v>
      </c>
      <c r="L210" s="5">
        <v>2.0411999999999999</v>
      </c>
      <c r="M210" s="5" t="s">
        <v>103</v>
      </c>
      <c r="N210" s="5" t="s">
        <v>607</v>
      </c>
      <c r="O210" s="5" t="s">
        <v>19</v>
      </c>
      <c r="P210" s="5" t="s">
        <v>19</v>
      </c>
      <c r="Q210" s="5" t="s">
        <v>19</v>
      </c>
      <c r="R210" s="5" t="s">
        <v>19</v>
      </c>
      <c r="S210" s="5" t="s">
        <v>19</v>
      </c>
      <c r="T210" s="5" t="s">
        <v>19</v>
      </c>
      <c r="U210" s="5" t="s">
        <v>19</v>
      </c>
      <c r="V210" s="5" t="s">
        <v>19</v>
      </c>
      <c r="W210" s="5" t="s">
        <v>19</v>
      </c>
      <c r="X210" s="19">
        <f t="shared" si="1"/>
        <v>2.0411999999999999</v>
      </c>
    </row>
    <row r="211" spans="1:24">
      <c r="A211" t="s">
        <v>125</v>
      </c>
      <c r="B211" t="s">
        <v>19</v>
      </c>
      <c r="C211" t="s">
        <v>20</v>
      </c>
      <c r="D211" t="s">
        <v>21</v>
      </c>
      <c r="E211" t="s">
        <v>19</v>
      </c>
      <c r="F211" t="s">
        <v>19</v>
      </c>
      <c r="G211" t="s">
        <v>19</v>
      </c>
      <c r="H211" t="s">
        <v>19</v>
      </c>
      <c r="I211" t="s">
        <v>19</v>
      </c>
      <c r="J211" t="s">
        <v>19</v>
      </c>
      <c r="K211" s="21" t="str">
        <f>IF(X211&lt;=0.9,HYPERLINK("http://www.lxhausys.co.kr/popup/rn/download/downloadPopup.jsp?from=plwindow&amp;uu=/upload/window/REPORT/LGH-TW15-039.pdf","1등급"),IF(X211&lt;=1.2,HYPERLINK("http://www.lxhausys.co.kr/popup/rn/download/downloadPopup.jsp?from=plwindow&amp;uu=/upload/window/REPORT/LGH-TW15-039.pdf","2등급"),IF(X211&lt;=1.8,HYPERLINK("http://www.lxhausys.co.kr/popup/rn/download/downloadPopup.jsp?from=plwindow&amp;uu=/upload/window/REPORT/LGH-TW15-039.pdf","3등급"),IF(X211&lt;=2.3,HYPERLINK("http://www.lxhausys.co.kr/popup/rn/download/downloadPopup.jsp?from=plwindow&amp;uu=/upload/window/REPORT/LGH-TW15-039.pdf","4등급"),IF(X211&lt;=2.8,HYPERLINK("http://www.lxhausys.co.kr/popup/rn/download/downloadPopup.jsp?from=plwindow&amp;uu=/upload/window/REPORT/LGH-TW15-039.pdf","5등급"),HYPERLINK("http://www.lxhausys.co.kr/popup/rn/download/downloadPopup.jsp?from=plwindow&amp;uu=/upload/window/REPORT/LGH-TW15-039.pdf","등급외"))))))</f>
        <v>4등급</v>
      </c>
      <c r="L211" s="5">
        <v>1.8440000000000001</v>
      </c>
      <c r="M211" s="5" t="s">
        <v>103</v>
      </c>
      <c r="N211" s="5" t="s">
        <v>607</v>
      </c>
      <c r="O211" s="5" t="s">
        <v>19</v>
      </c>
      <c r="P211" s="5" t="s">
        <v>19</v>
      </c>
      <c r="Q211" s="5" t="s">
        <v>19</v>
      </c>
      <c r="R211" s="5" t="s">
        <v>19</v>
      </c>
      <c r="S211" s="5" t="s">
        <v>19</v>
      </c>
      <c r="T211" s="5" t="s">
        <v>19</v>
      </c>
      <c r="U211" s="5" t="s">
        <v>19</v>
      </c>
      <c r="V211" s="5" t="s">
        <v>19</v>
      </c>
      <c r="W211" s="5" t="s">
        <v>19</v>
      </c>
      <c r="X211" s="19">
        <f t="shared" si="1"/>
        <v>1.8440000000000001</v>
      </c>
    </row>
    <row r="212" spans="1:24">
      <c r="A212" t="s">
        <v>125</v>
      </c>
      <c r="B212" t="s">
        <v>19</v>
      </c>
      <c r="C212" t="s">
        <v>20</v>
      </c>
      <c r="D212" t="s">
        <v>25</v>
      </c>
      <c r="E212" t="s">
        <v>19</v>
      </c>
      <c r="F212" t="s">
        <v>19</v>
      </c>
      <c r="G212" t="s">
        <v>19</v>
      </c>
      <c r="H212" t="s">
        <v>19</v>
      </c>
      <c r="I212" t="s">
        <v>19</v>
      </c>
      <c r="J212" t="s">
        <v>19</v>
      </c>
      <c r="K212" s="21" t="str">
        <f>IF(X212&lt;=0.9,HYPERLINK("http://www.lxhausys.co.kr/popup/rn/download/downloadPopup.jsp?from=plwindow&amp;uu=/upload/window/REPORT/LGH-TW15-040.pdf","1등급"),IF(X212&lt;=1.2,HYPERLINK("http://www.lxhausys.co.kr/popup/rn/download/downloadPopup.jsp?from=plwindow&amp;uu=/upload/window/REPORT/LGH-TW15-040.pdf","2등급"),IF(X212&lt;=1.8,HYPERLINK("http://www.lxhausys.co.kr/popup/rn/download/downloadPopup.jsp?from=plwindow&amp;uu=/upload/window/REPORT/LGH-TW15-040.pdf","3등급"),IF(X212&lt;=2.3,HYPERLINK("http://www.lxhausys.co.kr/popup/rn/download/downloadPopup.jsp?from=plwindow&amp;uu=/upload/window/REPORT/LGH-TW15-040.pdf","4등급"),IF(X212&lt;=2.8,HYPERLINK("http://www.lxhausys.co.kr/popup/rn/download/downloadPopup.jsp?from=plwindow&amp;uu=/upload/window/REPORT/LGH-TW15-040.pdf","5등급"),HYPERLINK("http://www.lxhausys.co.kr/popup/rn/download/downloadPopup.jsp?from=plwindow&amp;uu=/upload/window/REPORT/LGH-TW15-040.pdf","등급외"))))))</f>
        <v>5등급</v>
      </c>
      <c r="L212" s="5">
        <v>2.7277999999999998</v>
      </c>
      <c r="M212" s="5" t="s">
        <v>103</v>
      </c>
      <c r="N212" s="5" t="s">
        <v>607</v>
      </c>
      <c r="O212" s="5" t="s">
        <v>19</v>
      </c>
      <c r="P212" s="5" t="s">
        <v>19</v>
      </c>
      <c r="Q212" s="5" t="s">
        <v>19</v>
      </c>
      <c r="R212" s="5" t="s">
        <v>19</v>
      </c>
      <c r="S212" s="5" t="s">
        <v>19</v>
      </c>
      <c r="T212" s="5" t="s">
        <v>19</v>
      </c>
      <c r="U212" s="5" t="s">
        <v>19</v>
      </c>
      <c r="V212" s="5" t="s">
        <v>19</v>
      </c>
      <c r="W212" s="5" t="s">
        <v>19</v>
      </c>
      <c r="X212" s="19">
        <f t="shared" si="1"/>
        <v>2.7277999999999998</v>
      </c>
    </row>
    <row r="213" spans="1:24">
      <c r="A213" t="s">
        <v>125</v>
      </c>
      <c r="B213" t="s">
        <v>19</v>
      </c>
      <c r="C213" t="s">
        <v>20</v>
      </c>
      <c r="D213" t="s">
        <v>64</v>
      </c>
      <c r="E213" t="s">
        <v>19</v>
      </c>
      <c r="F213" t="s">
        <v>19</v>
      </c>
      <c r="G213" t="s">
        <v>19</v>
      </c>
      <c r="H213" t="s">
        <v>19</v>
      </c>
      <c r="I213" t="s">
        <v>19</v>
      </c>
      <c r="J213" t="s">
        <v>19</v>
      </c>
      <c r="K213" s="21" t="str">
        <f>IF(X213&lt;=0.9,HYPERLINK("http://www.lxhausys.co.kr/popup/rn/download/downloadPopup.jsp?from=plwindow&amp;uu=/upload/window/REPORT/LGH-TW15-041.pdf","1등급"),IF(X213&lt;=1.2,HYPERLINK("http://www.lxhausys.co.kr/popup/rn/download/downloadPopup.jsp?from=plwindow&amp;uu=/upload/window/REPORT/LGH-TW15-041.pdf","2등급"),IF(X213&lt;=1.8,HYPERLINK("http://www.lxhausys.co.kr/popup/rn/download/downloadPopup.jsp?from=plwindow&amp;uu=/upload/window/REPORT/LGH-TW15-041.pdf","3등급"),IF(X213&lt;=2.3,HYPERLINK("http://www.lxhausys.co.kr/popup/rn/download/downloadPopup.jsp?from=plwindow&amp;uu=/upload/window/REPORT/LGH-TW15-041.pdf","4등급"),IF(X213&lt;=2.8,HYPERLINK("http://www.lxhausys.co.kr/popup/rn/download/downloadPopup.jsp?from=plwindow&amp;uu=/upload/window/REPORT/LGH-TW15-041.pdf","5등급"),HYPERLINK("http://www.lxhausys.co.kr/popup/rn/download/downloadPopup.jsp?from=plwindow&amp;uu=/upload/window/REPORT/LGH-TW15-041.pdf","등급외"))))))</f>
        <v>4등급</v>
      </c>
      <c r="L213" s="5">
        <v>2.0329000000000002</v>
      </c>
      <c r="M213" s="5" t="s">
        <v>103</v>
      </c>
      <c r="N213" s="5" t="s">
        <v>607</v>
      </c>
      <c r="O213" s="5" t="s">
        <v>19</v>
      </c>
      <c r="P213" s="5" t="s">
        <v>19</v>
      </c>
      <c r="Q213" s="5" t="s">
        <v>19</v>
      </c>
      <c r="R213" s="5" t="s">
        <v>19</v>
      </c>
      <c r="S213" s="5" t="s">
        <v>19</v>
      </c>
      <c r="T213" s="5" t="s">
        <v>19</v>
      </c>
      <c r="U213" s="5" t="s">
        <v>19</v>
      </c>
      <c r="V213" s="5" t="s">
        <v>19</v>
      </c>
      <c r="W213" s="5" t="s">
        <v>19</v>
      </c>
      <c r="X213" s="19">
        <f t="shared" si="1"/>
        <v>2.0329000000000002</v>
      </c>
    </row>
    <row r="214" spans="1:24">
      <c r="A214" t="s">
        <v>125</v>
      </c>
      <c r="B214" t="s">
        <v>19</v>
      </c>
      <c r="C214" t="s">
        <v>20</v>
      </c>
      <c r="D214" t="s">
        <v>53</v>
      </c>
      <c r="E214" t="s">
        <v>19</v>
      </c>
      <c r="F214" t="s">
        <v>19</v>
      </c>
      <c r="G214" t="s">
        <v>19</v>
      </c>
      <c r="H214" t="s">
        <v>19</v>
      </c>
      <c r="I214" t="s">
        <v>19</v>
      </c>
      <c r="J214" t="s">
        <v>19</v>
      </c>
      <c r="K214" s="21" t="str">
        <f>IF(X214&lt;=0.9,HYPERLINK("http://www.lxhausys.co.kr/popup/rn/download/downloadPopup.jsp?from=plwindow&amp;uu=/upload/window/REPORT/LGH-TW15-042.pdf","1등급"),IF(X214&lt;=1.2,HYPERLINK("http://www.lxhausys.co.kr/popup/rn/download/downloadPopup.jsp?from=plwindow&amp;uu=/upload/window/REPORT/LGH-TW15-042.pdf","2등급"),IF(X214&lt;=1.8,HYPERLINK("http://www.lxhausys.co.kr/popup/rn/download/downloadPopup.jsp?from=plwindow&amp;uu=/upload/window/REPORT/LGH-TW15-042.pdf","3등급"),IF(X214&lt;=2.3,HYPERLINK("http://www.lxhausys.co.kr/popup/rn/download/downloadPopup.jsp?from=plwindow&amp;uu=/upload/window/REPORT/LGH-TW15-042.pdf","4등급"),IF(X214&lt;=2.8,HYPERLINK("http://www.lxhausys.co.kr/popup/rn/download/downloadPopup.jsp?from=plwindow&amp;uu=/upload/window/REPORT/LGH-TW15-042.pdf","5등급"),HYPERLINK("http://www.lxhausys.co.kr/popup/rn/download/downloadPopup.jsp?from=plwindow&amp;uu=/upload/window/REPORT/LGH-TW15-042.pdf","등급외"))))))</f>
        <v>3등급</v>
      </c>
      <c r="L214" s="5">
        <v>1.7629999999999999</v>
      </c>
      <c r="M214" s="5" t="s">
        <v>103</v>
      </c>
      <c r="N214" s="5" t="s">
        <v>607</v>
      </c>
      <c r="O214" s="5" t="s">
        <v>19</v>
      </c>
      <c r="P214" s="5" t="s">
        <v>19</v>
      </c>
      <c r="Q214" s="5" t="s">
        <v>19</v>
      </c>
      <c r="R214" s="5" t="s">
        <v>19</v>
      </c>
      <c r="S214" s="5" t="s">
        <v>19</v>
      </c>
      <c r="T214" s="5" t="s">
        <v>19</v>
      </c>
      <c r="U214" s="5" t="s">
        <v>19</v>
      </c>
      <c r="V214" s="5" t="s">
        <v>19</v>
      </c>
      <c r="W214" s="5" t="s">
        <v>19</v>
      </c>
      <c r="X214" s="19">
        <f t="shared" si="1"/>
        <v>1.7629999999999999</v>
      </c>
    </row>
    <row r="215" spans="1:24">
      <c r="A215" t="s">
        <v>19</v>
      </c>
      <c r="B215" t="s">
        <v>90</v>
      </c>
      <c r="C215" t="s">
        <v>20</v>
      </c>
      <c r="D215" t="s">
        <v>25</v>
      </c>
      <c r="E215" t="s">
        <v>19</v>
      </c>
      <c r="F215" t="s">
        <v>19</v>
      </c>
      <c r="G215" t="s">
        <v>19</v>
      </c>
      <c r="H215" t="s">
        <v>25</v>
      </c>
      <c r="I215" t="s">
        <v>19</v>
      </c>
      <c r="J215" t="s">
        <v>19</v>
      </c>
      <c r="K215" s="21" t="str">
        <f>IF(X215&lt;=0.9,HYPERLINK("http://www.lxhausys.co.kr/popup/rn/download/downloadPopup.jsp?from=plwindow&amp;uu=/upload/window/REPORT/LGH-TW15-050.pdf","1등급"),IF(X215&lt;=1.2,HYPERLINK("http://www.lxhausys.co.kr/popup/rn/download/downloadPopup.jsp?from=plwindow&amp;uu=/upload/window/REPORT/LGH-TW15-050.pdf","2등급"),IF(X215&lt;=1.8,HYPERLINK("http://www.lxhausys.co.kr/popup/rn/download/downloadPopup.jsp?from=plwindow&amp;uu=/upload/window/REPORT/LGH-TW15-050.pdf","3등급"),IF(X215&lt;=2.3,HYPERLINK("http://www.lxhausys.co.kr/popup/rn/download/downloadPopup.jsp?from=plwindow&amp;uu=/upload/window/REPORT/LGH-TW15-050.pdf","4등급"),IF(X215&lt;=2.8,HYPERLINK("http://www.lxhausys.co.kr/popup/rn/download/downloadPopup.jsp?from=plwindow&amp;uu=/upload/window/REPORT/LGH-TW15-050.pdf","5등급"),HYPERLINK("http://www.lxhausys.co.kr/popup/rn/download/downloadPopup.jsp?from=plwindow&amp;uu=/upload/window/REPORT/LGH-TW15-050.pdf","등급외"))))))</f>
        <v>3등급</v>
      </c>
      <c r="L215" s="5">
        <v>1.2154</v>
      </c>
      <c r="M215" s="5" t="s">
        <v>22</v>
      </c>
      <c r="N215" s="5" t="s">
        <v>607</v>
      </c>
      <c r="O215" s="5" t="s">
        <v>19</v>
      </c>
      <c r="P215" s="5" t="s">
        <v>19</v>
      </c>
      <c r="Q215" s="5" t="s">
        <v>19</v>
      </c>
      <c r="R215" s="5" t="s">
        <v>19</v>
      </c>
      <c r="S215" s="5" t="s">
        <v>19</v>
      </c>
      <c r="T215" s="5" t="s">
        <v>19</v>
      </c>
      <c r="U215" s="5" t="s">
        <v>19</v>
      </c>
      <c r="V215" s="5" t="s">
        <v>19</v>
      </c>
      <c r="W215" s="5" t="s">
        <v>19</v>
      </c>
      <c r="X215" s="19">
        <f t="shared" si="1"/>
        <v>1.2154</v>
      </c>
    </row>
    <row r="216" spans="1:24">
      <c r="A216" t="s">
        <v>19</v>
      </c>
      <c r="B216" t="s">
        <v>90</v>
      </c>
      <c r="C216" t="s">
        <v>20</v>
      </c>
      <c r="D216" t="s">
        <v>68</v>
      </c>
      <c r="E216" t="s">
        <v>19</v>
      </c>
      <c r="F216" t="s">
        <v>19</v>
      </c>
      <c r="G216" t="s">
        <v>19</v>
      </c>
      <c r="H216" t="s">
        <v>68</v>
      </c>
      <c r="I216" t="s">
        <v>19</v>
      </c>
      <c r="J216" t="s">
        <v>19</v>
      </c>
      <c r="K216" s="21" t="str">
        <f>IF(X216&lt;=0.9,HYPERLINK("http://www.lxhausys.co.kr/popup/rn/download/downloadPopup.jsp?from=plwindow&amp;uu=/upload/window/REPORT/LGH-TW15-051.pdf","1등급"),IF(X216&lt;=1.2,HYPERLINK("http://www.lxhausys.co.kr/popup/rn/download/downloadPopup.jsp?from=plwindow&amp;uu=/upload/window/REPORT/LGH-TW15-051.pdf","2등급"),IF(X216&lt;=1.8,HYPERLINK("http://www.lxhausys.co.kr/popup/rn/download/downloadPopup.jsp?from=plwindow&amp;uu=/upload/window/REPORT/LGH-TW15-051.pdf","3등급"),IF(X216&lt;=2.3,HYPERLINK("http://www.lxhausys.co.kr/popup/rn/download/downloadPopup.jsp?from=plwindow&amp;uu=/upload/window/REPORT/LGH-TW15-051.pdf","4등급"),IF(X216&lt;=2.8,HYPERLINK("http://www.lxhausys.co.kr/popup/rn/download/downloadPopup.jsp?from=plwindow&amp;uu=/upload/window/REPORT/LGH-TW15-051.pdf","5등급"),HYPERLINK("http://www.lxhausys.co.kr/popup/rn/download/downloadPopup.jsp?from=plwindow&amp;uu=/upload/window/REPORT/LGH-TW15-051.pdf","등급외"))))))</f>
        <v>2등급</v>
      </c>
      <c r="L216" s="5">
        <v>1.1936</v>
      </c>
      <c r="M216" s="5" t="s">
        <v>22</v>
      </c>
      <c r="N216" s="5" t="s">
        <v>607</v>
      </c>
      <c r="O216" s="5" t="s">
        <v>19</v>
      </c>
      <c r="P216" s="5" t="s">
        <v>19</v>
      </c>
      <c r="Q216" s="5" t="s">
        <v>19</v>
      </c>
      <c r="R216" s="5" t="s">
        <v>19</v>
      </c>
      <c r="S216" s="5" t="s">
        <v>19</v>
      </c>
      <c r="T216" s="5" t="s">
        <v>19</v>
      </c>
      <c r="U216" s="5" t="s">
        <v>19</v>
      </c>
      <c r="V216" s="5" t="s">
        <v>19</v>
      </c>
      <c r="W216" s="5" t="s">
        <v>19</v>
      </c>
      <c r="X216" s="19">
        <f t="shared" si="1"/>
        <v>1.1936</v>
      </c>
    </row>
    <row r="217" spans="1:24">
      <c r="A217" t="s">
        <v>19</v>
      </c>
      <c r="B217" t="s">
        <v>48</v>
      </c>
      <c r="C217" t="s">
        <v>20</v>
      </c>
      <c r="D217" t="s">
        <v>25</v>
      </c>
      <c r="E217" t="s">
        <v>19</v>
      </c>
      <c r="F217" t="s">
        <v>19</v>
      </c>
      <c r="G217" t="s">
        <v>19</v>
      </c>
      <c r="H217" t="s">
        <v>25</v>
      </c>
      <c r="I217" t="s">
        <v>19</v>
      </c>
      <c r="J217" t="s">
        <v>19</v>
      </c>
      <c r="K217" s="21" t="str">
        <f>IF(X217&lt;=0.9,HYPERLINK("http://www.lxhausys.co.kr/popup/rn/download/downloadPopup.jsp?from=plwindow&amp;uu=/upload/window/REPORT/LGH-TW15-052.pdf","1등급"),IF(X217&lt;=1.2,HYPERLINK("http://www.lxhausys.co.kr/popup/rn/download/downloadPopup.jsp?from=plwindow&amp;uu=/upload/window/REPORT/LGH-TW15-052.pdf","2등급"),IF(X217&lt;=1.8,HYPERLINK("http://www.lxhausys.co.kr/popup/rn/download/downloadPopup.jsp?from=plwindow&amp;uu=/upload/window/REPORT/LGH-TW15-052.pdf","3등급"),IF(X217&lt;=2.3,HYPERLINK("http://www.lxhausys.co.kr/popup/rn/download/downloadPopup.jsp?from=plwindow&amp;uu=/upload/window/REPORT/LGH-TW15-052.pdf","4등급"),IF(X217&lt;=2.8,HYPERLINK("http://www.lxhausys.co.kr/popup/rn/download/downloadPopup.jsp?from=plwindow&amp;uu=/upload/window/REPORT/LGH-TW15-052.pdf","5등급"),HYPERLINK("http://www.lxhausys.co.kr/popup/rn/download/downloadPopup.jsp?from=plwindow&amp;uu=/upload/window/REPORT/LGH-TW15-052.pdf","등급외"))))))</f>
        <v>3등급</v>
      </c>
      <c r="L217" s="5">
        <v>1.2375</v>
      </c>
      <c r="M217" s="5" t="s">
        <v>22</v>
      </c>
      <c r="N217" s="5" t="s">
        <v>607</v>
      </c>
      <c r="O217" s="5" t="s">
        <v>19</v>
      </c>
      <c r="P217" s="5" t="s">
        <v>19</v>
      </c>
      <c r="Q217" s="5" t="s">
        <v>19</v>
      </c>
      <c r="R217" s="5" t="s">
        <v>19</v>
      </c>
      <c r="S217" s="5" t="s">
        <v>19</v>
      </c>
      <c r="T217" s="5" t="s">
        <v>19</v>
      </c>
      <c r="U217" s="5" t="s">
        <v>19</v>
      </c>
      <c r="V217" s="5" t="s">
        <v>19</v>
      </c>
      <c r="W217" s="5" t="s">
        <v>19</v>
      </c>
      <c r="X217" s="19">
        <f t="shared" si="1"/>
        <v>1.2375</v>
      </c>
    </row>
    <row r="218" spans="1:24">
      <c r="A218" t="s">
        <v>19</v>
      </c>
      <c r="B218" t="s">
        <v>48</v>
      </c>
      <c r="C218" t="s">
        <v>20</v>
      </c>
      <c r="D218" t="s">
        <v>68</v>
      </c>
      <c r="E218" t="s">
        <v>19</v>
      </c>
      <c r="F218" t="s">
        <v>19</v>
      </c>
      <c r="G218" t="s">
        <v>19</v>
      </c>
      <c r="H218" t="s">
        <v>68</v>
      </c>
      <c r="I218" t="s">
        <v>19</v>
      </c>
      <c r="J218" t="s">
        <v>19</v>
      </c>
      <c r="K218" s="21" t="str">
        <f>IF(X218&lt;=0.9,HYPERLINK("http://www.lxhausys.co.kr/popup/rn/download/downloadPopup.jsp?from=plwindow&amp;uu=/upload/window/REPORT/LGH-TW15-053.pdf","1등급"),IF(X218&lt;=1.2,HYPERLINK("http://www.lxhausys.co.kr/popup/rn/download/downloadPopup.jsp?from=plwindow&amp;uu=/upload/window/REPORT/LGH-TW15-053.pdf","2등급"),IF(X218&lt;=1.8,HYPERLINK("http://www.lxhausys.co.kr/popup/rn/download/downloadPopup.jsp?from=plwindow&amp;uu=/upload/window/REPORT/LGH-TW15-053.pdf","3등급"),IF(X218&lt;=2.3,HYPERLINK("http://www.lxhausys.co.kr/popup/rn/download/downloadPopup.jsp?from=plwindow&amp;uu=/upload/window/REPORT/LGH-TW15-053.pdf","4등급"),IF(X218&lt;=2.8,HYPERLINK("http://www.lxhausys.co.kr/popup/rn/download/downloadPopup.jsp?from=plwindow&amp;uu=/upload/window/REPORT/LGH-TW15-053.pdf","5등급"),HYPERLINK("http://www.lxhausys.co.kr/popup/rn/download/downloadPopup.jsp?from=plwindow&amp;uu=/upload/window/REPORT/LGH-TW15-053.pdf","등급외"))))))</f>
        <v>3등급</v>
      </c>
      <c r="L218" s="5">
        <v>1.2222999999999999</v>
      </c>
      <c r="M218" s="5" t="s">
        <v>22</v>
      </c>
      <c r="N218" s="5" t="s">
        <v>607</v>
      </c>
      <c r="O218" s="5" t="s">
        <v>19</v>
      </c>
      <c r="P218" s="5" t="s">
        <v>19</v>
      </c>
      <c r="Q218" s="5" t="s">
        <v>19</v>
      </c>
      <c r="R218" s="5" t="s">
        <v>19</v>
      </c>
      <c r="S218" s="5" t="s">
        <v>19</v>
      </c>
      <c r="T218" s="5" t="s">
        <v>19</v>
      </c>
      <c r="U218" s="5" t="s">
        <v>19</v>
      </c>
      <c r="V218" s="5" t="s">
        <v>19</v>
      </c>
      <c r="W218" s="5" t="s">
        <v>19</v>
      </c>
      <c r="X218" s="19">
        <f t="shared" si="1"/>
        <v>1.2222999999999999</v>
      </c>
    </row>
    <row r="219" spans="1:24">
      <c r="A219" t="s">
        <v>19</v>
      </c>
      <c r="B219" t="s">
        <v>49</v>
      </c>
      <c r="C219" t="s">
        <v>20</v>
      </c>
      <c r="D219" t="s">
        <v>64</v>
      </c>
      <c r="E219" t="s">
        <v>19</v>
      </c>
      <c r="F219" t="s">
        <v>19</v>
      </c>
      <c r="G219" t="s">
        <v>19</v>
      </c>
      <c r="H219" t="s">
        <v>19</v>
      </c>
      <c r="I219" t="s">
        <v>19</v>
      </c>
      <c r="J219" t="s">
        <v>19</v>
      </c>
      <c r="K219" s="21" t="str">
        <f>IF(X219&lt;=0.9,HYPERLINK("http://www.lxhausys.co.kr/popup/rn/download/downloadPopup.jsp?from=plwindow&amp;uu=/upload/window/REPORT/LGH-TW15-054.pdf","1등급"),IF(X219&lt;=1.2,HYPERLINK("http://www.lxhausys.co.kr/popup/rn/download/downloadPopup.jsp?from=plwindow&amp;uu=/upload/window/REPORT/LGH-TW15-054.pdf","2등급"),IF(X219&lt;=1.8,HYPERLINK("http://www.lxhausys.co.kr/popup/rn/download/downloadPopup.jsp?from=plwindow&amp;uu=/upload/window/REPORT/LGH-TW15-054.pdf","3등급"),IF(X219&lt;=2.3,HYPERLINK("http://www.lxhausys.co.kr/popup/rn/download/downloadPopup.jsp?from=plwindow&amp;uu=/upload/window/REPORT/LGH-TW15-054.pdf","4등급"),IF(X219&lt;=2.8,HYPERLINK("http://www.lxhausys.co.kr/popup/rn/download/downloadPopup.jsp?from=plwindow&amp;uu=/upload/window/REPORT/LGH-TW15-054.pdf","5등급"),HYPERLINK("http://www.lxhausys.co.kr/popup/rn/download/downloadPopup.jsp?from=plwindow&amp;uu=/upload/window/REPORT/LGH-TW15-054.pdf","등급외"))))))</f>
        <v>4등급</v>
      </c>
      <c r="L219" s="5">
        <v>1.9436</v>
      </c>
      <c r="M219" s="5" t="s">
        <v>103</v>
      </c>
      <c r="N219" s="5" t="s">
        <v>607</v>
      </c>
      <c r="O219" s="5" t="s">
        <v>19</v>
      </c>
      <c r="P219" s="5" t="s">
        <v>19</v>
      </c>
      <c r="Q219" s="5" t="s">
        <v>19</v>
      </c>
      <c r="R219" s="5" t="s">
        <v>19</v>
      </c>
      <c r="S219" s="5" t="s">
        <v>19</v>
      </c>
      <c r="T219" s="5" t="s">
        <v>19</v>
      </c>
      <c r="U219" s="5" t="s">
        <v>19</v>
      </c>
      <c r="V219" s="5" t="s">
        <v>19</v>
      </c>
      <c r="W219" s="5" t="s">
        <v>19</v>
      </c>
      <c r="X219" s="19">
        <f t="shared" si="1"/>
        <v>1.9436</v>
      </c>
    </row>
    <row r="220" spans="1:24">
      <c r="A220" t="s">
        <v>19</v>
      </c>
      <c r="B220" t="s">
        <v>49</v>
      </c>
      <c r="C220" t="s">
        <v>20</v>
      </c>
      <c r="D220" t="s">
        <v>102</v>
      </c>
      <c r="E220" t="s">
        <v>19</v>
      </c>
      <c r="F220" t="s">
        <v>19</v>
      </c>
      <c r="G220" t="s">
        <v>19</v>
      </c>
      <c r="H220" t="s">
        <v>19</v>
      </c>
      <c r="I220" t="s">
        <v>19</v>
      </c>
      <c r="J220" t="s">
        <v>19</v>
      </c>
      <c r="K220" s="21" t="str">
        <f>IF(X220&lt;=0.9,HYPERLINK("http://www.lxhausys.co.kr/popup/rn/download/downloadPopup.jsp?from=plwindow&amp;uu=/upload/window/REPORT/LGH-TW15-055.pdf","1등급"),IF(X220&lt;=1.2,HYPERLINK("http://www.lxhausys.co.kr/popup/rn/download/downloadPopup.jsp?from=plwindow&amp;uu=/upload/window/REPORT/LGH-TW15-055.pdf","2등급"),IF(X220&lt;=1.8,HYPERLINK("http://www.lxhausys.co.kr/popup/rn/download/downloadPopup.jsp?from=plwindow&amp;uu=/upload/window/REPORT/LGH-TW15-055.pdf","3등급"),IF(X220&lt;=2.3,HYPERLINK("http://www.lxhausys.co.kr/popup/rn/download/downloadPopup.jsp?from=plwindow&amp;uu=/upload/window/REPORT/LGH-TW15-055.pdf","4등급"),IF(X220&lt;=2.8,HYPERLINK("http://www.lxhausys.co.kr/popup/rn/download/downloadPopup.jsp?from=plwindow&amp;uu=/upload/window/REPORT/LGH-TW15-055.pdf","5등급"),HYPERLINK("http://www.lxhausys.co.kr/popup/rn/download/downloadPopup.jsp?from=plwindow&amp;uu=/upload/window/REPORT/LGH-TW15-055.pdf","등급외"))))))</f>
        <v>4등급</v>
      </c>
      <c r="L220" s="5">
        <v>1.8793</v>
      </c>
      <c r="M220" s="5" t="s">
        <v>103</v>
      </c>
      <c r="N220" s="5" t="s">
        <v>607</v>
      </c>
      <c r="O220" s="5" t="s">
        <v>19</v>
      </c>
      <c r="P220" s="5" t="s">
        <v>19</v>
      </c>
      <c r="Q220" s="5" t="s">
        <v>19</v>
      </c>
      <c r="R220" s="5" t="s">
        <v>19</v>
      </c>
      <c r="S220" s="5" t="s">
        <v>19</v>
      </c>
      <c r="T220" s="5" t="s">
        <v>19</v>
      </c>
      <c r="U220" s="5" t="s">
        <v>19</v>
      </c>
      <c r="V220" s="5" t="s">
        <v>19</v>
      </c>
      <c r="W220" s="5" t="s">
        <v>19</v>
      </c>
      <c r="X220" s="19">
        <f t="shared" si="1"/>
        <v>1.8793</v>
      </c>
    </row>
    <row r="221" spans="1:24">
      <c r="A221" t="s">
        <v>61</v>
      </c>
      <c r="B221" t="s">
        <v>19</v>
      </c>
      <c r="C221" t="s">
        <v>20</v>
      </c>
      <c r="D221" t="s">
        <v>64</v>
      </c>
      <c r="E221" t="s">
        <v>19</v>
      </c>
      <c r="F221" t="s">
        <v>19</v>
      </c>
      <c r="G221" t="s">
        <v>19</v>
      </c>
      <c r="H221" t="s">
        <v>19</v>
      </c>
      <c r="I221" t="s">
        <v>19</v>
      </c>
      <c r="J221" t="s">
        <v>19</v>
      </c>
      <c r="K221" s="21" t="str">
        <f>IF(X221&lt;=0.9,HYPERLINK("http://www.lxhausys.co.kr/popup/rn/download/downloadPopup.jsp?from=plwindow&amp;uu=/upload/window/REPORT/LGH-TW15-064.pdf","1등급"),IF(X221&lt;=1.2,HYPERLINK("http://www.lxhausys.co.kr/popup/rn/download/downloadPopup.jsp?from=plwindow&amp;uu=/upload/window/REPORT/LGH-TW15-064.pdf","2등급"),IF(X221&lt;=1.8,HYPERLINK("http://www.lxhausys.co.kr/popup/rn/download/downloadPopup.jsp?from=plwindow&amp;uu=/upload/window/REPORT/LGH-TW15-064.pdf","3등급"),IF(X221&lt;=2.3,HYPERLINK("http://www.lxhausys.co.kr/popup/rn/download/downloadPopup.jsp?from=plwindow&amp;uu=/upload/window/REPORT/LGH-TW15-064.pdf","4등급"),IF(X221&lt;=2.8,HYPERLINK("http://www.lxhausys.co.kr/popup/rn/download/downloadPopup.jsp?from=plwindow&amp;uu=/upload/window/REPORT/LGH-TW15-064.pdf","5등급"),HYPERLINK("http://www.lxhausys.co.kr/popup/rn/download/downloadPopup.jsp?from=plwindow&amp;uu=/upload/window/REPORT/LGH-TW15-064.pdf","등급외"))))))</f>
        <v>4등급</v>
      </c>
      <c r="L221" s="5">
        <v>2.0819999999999999</v>
      </c>
      <c r="M221" s="5" t="s">
        <v>103</v>
      </c>
      <c r="N221" s="5" t="s">
        <v>607</v>
      </c>
      <c r="O221" s="5" t="s">
        <v>19</v>
      </c>
      <c r="P221" s="5" t="s">
        <v>19</v>
      </c>
      <c r="Q221" s="5" t="s">
        <v>19</v>
      </c>
      <c r="R221" s="5" t="s">
        <v>19</v>
      </c>
      <c r="S221" s="5" t="s">
        <v>19</v>
      </c>
      <c r="T221" s="5" t="s">
        <v>19</v>
      </c>
      <c r="U221" s="5" t="s">
        <v>19</v>
      </c>
      <c r="V221" s="5" t="s">
        <v>19</v>
      </c>
      <c r="W221" s="5" t="s">
        <v>19</v>
      </c>
      <c r="X221" s="19">
        <f t="shared" si="1"/>
        <v>2.0819999999999999</v>
      </c>
    </row>
    <row r="222" spans="1:24">
      <c r="A222" t="s">
        <v>61</v>
      </c>
      <c r="B222" t="s">
        <v>19</v>
      </c>
      <c r="C222" t="s">
        <v>20</v>
      </c>
      <c r="D222" t="s">
        <v>53</v>
      </c>
      <c r="E222" t="s">
        <v>19</v>
      </c>
      <c r="F222" t="s">
        <v>19</v>
      </c>
      <c r="G222" t="s">
        <v>19</v>
      </c>
      <c r="H222" t="s">
        <v>19</v>
      </c>
      <c r="I222" t="s">
        <v>19</v>
      </c>
      <c r="J222" t="s">
        <v>19</v>
      </c>
      <c r="K222" s="21" t="str">
        <f>IF(X222&lt;=0.9,HYPERLINK("http://www.lxhausys.co.kr/popup/rn/download/downloadPopup.jsp?from=plwindow&amp;uu=/upload/window/REPORT/LGH-TW15-065.pdf","1등급"),IF(X222&lt;=1.2,HYPERLINK("http://www.lxhausys.co.kr/popup/rn/download/downloadPopup.jsp?from=plwindow&amp;uu=/upload/window/REPORT/LGH-TW15-065.pdf","2등급"),IF(X222&lt;=1.8,HYPERLINK("http://www.lxhausys.co.kr/popup/rn/download/downloadPopup.jsp?from=plwindow&amp;uu=/upload/window/REPORT/LGH-TW15-065.pdf","3등급"),IF(X222&lt;=2.3,HYPERLINK("http://www.lxhausys.co.kr/popup/rn/download/downloadPopup.jsp?from=plwindow&amp;uu=/upload/window/REPORT/LGH-TW15-065.pdf","4등급"),IF(X222&lt;=2.8,HYPERLINK("http://www.lxhausys.co.kr/popup/rn/download/downloadPopup.jsp?from=plwindow&amp;uu=/upload/window/REPORT/LGH-TW15-065.pdf","5등급"),HYPERLINK("http://www.lxhausys.co.kr/popup/rn/download/downloadPopup.jsp?from=plwindow&amp;uu=/upload/window/REPORT/LGH-TW15-065.pdf","등급외"))))))</f>
        <v>4등급</v>
      </c>
      <c r="L222" s="5">
        <v>1.8165</v>
      </c>
      <c r="M222" s="5" t="s">
        <v>103</v>
      </c>
      <c r="N222" s="5" t="s">
        <v>607</v>
      </c>
      <c r="O222" s="5" t="s">
        <v>19</v>
      </c>
      <c r="P222" s="5" t="s">
        <v>19</v>
      </c>
      <c r="Q222" s="5" t="s">
        <v>19</v>
      </c>
      <c r="R222" s="5" t="s">
        <v>19</v>
      </c>
      <c r="S222" s="5" t="s">
        <v>19</v>
      </c>
      <c r="T222" s="5" t="s">
        <v>19</v>
      </c>
      <c r="U222" s="5" t="s">
        <v>19</v>
      </c>
      <c r="V222" s="5" t="s">
        <v>19</v>
      </c>
      <c r="W222" s="5" t="s">
        <v>19</v>
      </c>
      <c r="X222" s="19">
        <f t="shared" si="1"/>
        <v>1.8165</v>
      </c>
    </row>
    <row r="223" spans="1:24">
      <c r="A223" t="s">
        <v>61</v>
      </c>
      <c r="B223" t="s">
        <v>19</v>
      </c>
      <c r="C223" t="s">
        <v>20</v>
      </c>
      <c r="D223" t="s">
        <v>25</v>
      </c>
      <c r="E223" t="s">
        <v>19</v>
      </c>
      <c r="F223" t="s">
        <v>19</v>
      </c>
      <c r="G223" t="s">
        <v>19</v>
      </c>
      <c r="H223" t="s">
        <v>19</v>
      </c>
      <c r="I223" t="s">
        <v>19</v>
      </c>
      <c r="J223" t="s">
        <v>19</v>
      </c>
      <c r="K223" s="21" t="str">
        <f>IF(X223&lt;=0.9,HYPERLINK("http://www.lxhausys.co.kr/popup/rn/download/downloadPopup.jsp?from=plwindow&amp;uu=/upload/window/REPORT/LGH-TW15-066.pdf","1등급"),IF(X223&lt;=1.2,HYPERLINK("http://www.lxhausys.co.kr/popup/rn/download/downloadPopup.jsp?from=plwindow&amp;uu=/upload/window/REPORT/LGH-TW15-066.pdf","2등급"),IF(X223&lt;=1.8,HYPERLINK("http://www.lxhausys.co.kr/popup/rn/download/downloadPopup.jsp?from=plwindow&amp;uu=/upload/window/REPORT/LGH-TW15-066.pdf","3등급"),IF(X223&lt;=2.3,HYPERLINK("http://www.lxhausys.co.kr/popup/rn/download/downloadPopup.jsp?from=plwindow&amp;uu=/upload/window/REPORT/LGH-TW15-066.pdf","4등급"),IF(X223&lt;=2.8,HYPERLINK("http://www.lxhausys.co.kr/popup/rn/download/downloadPopup.jsp?from=plwindow&amp;uu=/upload/window/REPORT/LGH-TW15-066.pdf","5등급"),HYPERLINK("http://www.lxhausys.co.kr/popup/rn/download/downloadPopup.jsp?from=plwindow&amp;uu=/upload/window/REPORT/LGH-TW15-066.pdf","등급외"))))))</f>
        <v>5등급</v>
      </c>
      <c r="L223" s="5">
        <v>2.7692999999999999</v>
      </c>
      <c r="M223" s="5" t="s">
        <v>103</v>
      </c>
      <c r="N223" s="5" t="s">
        <v>607</v>
      </c>
      <c r="O223" s="5" t="s">
        <v>19</v>
      </c>
      <c r="P223" s="5" t="s">
        <v>19</v>
      </c>
      <c r="Q223" s="5" t="s">
        <v>19</v>
      </c>
      <c r="R223" s="5" t="s">
        <v>19</v>
      </c>
      <c r="S223" s="5" t="s">
        <v>19</v>
      </c>
      <c r="T223" s="5" t="s">
        <v>19</v>
      </c>
      <c r="U223" s="5" t="s">
        <v>19</v>
      </c>
      <c r="V223" s="5" t="s">
        <v>19</v>
      </c>
      <c r="W223" s="5" t="s">
        <v>19</v>
      </c>
      <c r="X223" s="19">
        <f t="shared" si="1"/>
        <v>2.7692999999999999</v>
      </c>
    </row>
    <row r="224" spans="1:24">
      <c r="A224" t="s">
        <v>62</v>
      </c>
      <c r="B224" t="s">
        <v>19</v>
      </c>
      <c r="C224" t="s">
        <v>20</v>
      </c>
      <c r="D224" t="s">
        <v>25</v>
      </c>
      <c r="E224" t="s">
        <v>19</v>
      </c>
      <c r="F224" t="s">
        <v>19</v>
      </c>
      <c r="G224" t="s">
        <v>19</v>
      </c>
      <c r="H224" t="s">
        <v>25</v>
      </c>
      <c r="I224" t="s">
        <v>19</v>
      </c>
      <c r="J224" t="s">
        <v>19</v>
      </c>
      <c r="K224" s="21" t="str">
        <f>IF(X224&lt;=0.9,HYPERLINK("http://www.lxhausys.co.kr/popup/rn/download/downloadPopup.jsp?from=plwindow&amp;uu=/upload/window/REPORT/LGH-TW15-067.pdf","1등급"),IF(X224&lt;=1.2,HYPERLINK("http://www.lxhausys.co.kr/popup/rn/download/downloadPopup.jsp?from=plwindow&amp;uu=/upload/window/REPORT/LGH-TW15-067.pdf","2등급"),IF(X224&lt;=1.8,HYPERLINK("http://www.lxhausys.co.kr/popup/rn/download/downloadPopup.jsp?from=plwindow&amp;uu=/upload/window/REPORT/LGH-TW15-067.pdf","3등급"),IF(X224&lt;=2.3,HYPERLINK("http://www.lxhausys.co.kr/popup/rn/download/downloadPopup.jsp?from=plwindow&amp;uu=/upload/window/REPORT/LGH-TW15-067.pdf","4등급"),IF(X224&lt;=2.8,HYPERLINK("http://www.lxhausys.co.kr/popup/rn/download/downloadPopup.jsp?from=plwindow&amp;uu=/upload/window/REPORT/LGH-TW15-067.pdf","5등급"),HYPERLINK("http://www.lxhausys.co.kr/popup/rn/download/downloadPopup.jsp?from=plwindow&amp;uu=/upload/window/REPORT/LGH-TW15-067.pdf","등급외"))))))</f>
        <v>3등급</v>
      </c>
      <c r="L224" s="5">
        <v>1.2201</v>
      </c>
      <c r="M224" s="5" t="s">
        <v>22</v>
      </c>
      <c r="N224" s="5" t="s">
        <v>607</v>
      </c>
      <c r="O224" s="5" t="s">
        <v>19</v>
      </c>
      <c r="P224" s="5" t="s">
        <v>19</v>
      </c>
      <c r="Q224" s="5" t="s">
        <v>19</v>
      </c>
      <c r="R224" s="5" t="s">
        <v>19</v>
      </c>
      <c r="S224" s="5" t="s">
        <v>19</v>
      </c>
      <c r="T224" s="5" t="s">
        <v>19</v>
      </c>
      <c r="U224" s="5" t="s">
        <v>19</v>
      </c>
      <c r="V224" s="5" t="s">
        <v>19</v>
      </c>
      <c r="W224" s="5" t="s">
        <v>19</v>
      </c>
      <c r="X224" s="19">
        <f t="shared" si="1"/>
        <v>1.2201</v>
      </c>
    </row>
    <row r="225" spans="1:24">
      <c r="A225" t="s">
        <v>62</v>
      </c>
      <c r="B225" t="s">
        <v>19</v>
      </c>
      <c r="C225" t="s">
        <v>20</v>
      </c>
      <c r="D225" t="s">
        <v>25</v>
      </c>
      <c r="E225" t="s">
        <v>19</v>
      </c>
      <c r="F225" t="s">
        <v>19</v>
      </c>
      <c r="G225" t="s">
        <v>19</v>
      </c>
      <c r="H225" t="s">
        <v>64</v>
      </c>
      <c r="I225" t="s">
        <v>19</v>
      </c>
      <c r="J225" t="s">
        <v>19</v>
      </c>
      <c r="K225" s="21" t="str">
        <f>IF(X225&lt;=0.9,HYPERLINK("http://www.lxhausys.co.kr/popup/rn/download/downloadPopup.jsp?from=plwindow&amp;uu=/upload/window/REPORT/LGH-TW15-068.pdf","1등급"),IF(X225&lt;=1.2,HYPERLINK("http://www.lxhausys.co.kr/popup/rn/download/downloadPopup.jsp?from=plwindow&amp;uu=/upload/window/REPORT/LGH-TW15-068.pdf","2등급"),IF(X225&lt;=1.8,HYPERLINK("http://www.lxhausys.co.kr/popup/rn/download/downloadPopup.jsp?from=plwindow&amp;uu=/upload/window/REPORT/LGH-TW15-068.pdf","3등급"),IF(X225&lt;=2.3,HYPERLINK("http://www.lxhausys.co.kr/popup/rn/download/downloadPopup.jsp?from=plwindow&amp;uu=/upload/window/REPORT/LGH-TW15-068.pdf","4등급"),IF(X225&lt;=2.8,HYPERLINK("http://www.lxhausys.co.kr/popup/rn/download/downloadPopup.jsp?from=plwindow&amp;uu=/upload/window/REPORT/LGH-TW15-068.pdf","5등급"),HYPERLINK("http://www.lxhausys.co.kr/popup/rn/download/downloadPopup.jsp?from=plwindow&amp;uu=/upload/window/REPORT/LGH-TW15-068.pdf","등급외"))))))</f>
        <v>2등급</v>
      </c>
      <c r="L225" s="5">
        <v>1.0194000000000001</v>
      </c>
      <c r="M225" s="5" t="s">
        <v>22</v>
      </c>
      <c r="N225" s="5" t="s">
        <v>607</v>
      </c>
      <c r="O225" s="5" t="s">
        <v>19</v>
      </c>
      <c r="P225" s="5" t="s">
        <v>19</v>
      </c>
      <c r="Q225" s="5" t="s">
        <v>19</v>
      </c>
      <c r="R225" s="5" t="s">
        <v>19</v>
      </c>
      <c r="S225" s="5" t="s">
        <v>19</v>
      </c>
      <c r="T225" s="5" t="s">
        <v>19</v>
      </c>
      <c r="U225" s="5" t="s">
        <v>19</v>
      </c>
      <c r="V225" s="5" t="s">
        <v>19</v>
      </c>
      <c r="W225" s="5" t="s">
        <v>19</v>
      </c>
      <c r="X225" s="19">
        <f t="shared" si="1"/>
        <v>1.0194000000000001</v>
      </c>
    </row>
    <row r="226" spans="1:24">
      <c r="A226" t="s">
        <v>62</v>
      </c>
      <c r="B226" t="s">
        <v>19</v>
      </c>
      <c r="C226" t="s">
        <v>20</v>
      </c>
      <c r="D226" t="s">
        <v>25</v>
      </c>
      <c r="E226" t="s">
        <v>19</v>
      </c>
      <c r="F226" t="s">
        <v>19</v>
      </c>
      <c r="G226" t="s">
        <v>19</v>
      </c>
      <c r="H226" t="s">
        <v>53</v>
      </c>
      <c r="I226" t="s">
        <v>19</v>
      </c>
      <c r="J226" t="s">
        <v>19</v>
      </c>
      <c r="K226" s="21" t="str">
        <f>IF(X226&lt;=0.9,HYPERLINK("http://www.lxhausys.co.kr/popup/rn/download/downloadPopup.jsp?from=plwindow&amp;uu=/upload/window/REPORT/LGH-TW15-069.pdf","1등급"),IF(X226&lt;=1.2,HYPERLINK("http://www.lxhausys.co.kr/popup/rn/download/downloadPopup.jsp?from=plwindow&amp;uu=/upload/window/REPORT/LGH-TW15-069.pdf","2등급"),IF(X226&lt;=1.8,HYPERLINK("http://www.lxhausys.co.kr/popup/rn/download/downloadPopup.jsp?from=plwindow&amp;uu=/upload/window/REPORT/LGH-TW15-069.pdf","3등급"),IF(X226&lt;=2.3,HYPERLINK("http://www.lxhausys.co.kr/popup/rn/download/downloadPopup.jsp?from=plwindow&amp;uu=/upload/window/REPORT/LGH-TW15-069.pdf","4등급"),IF(X226&lt;=2.8,HYPERLINK("http://www.lxhausys.co.kr/popup/rn/download/downloadPopup.jsp?from=plwindow&amp;uu=/upload/window/REPORT/LGH-TW15-069.pdf","5등급"),HYPERLINK("http://www.lxhausys.co.kr/popup/rn/download/downloadPopup.jsp?from=plwindow&amp;uu=/upload/window/REPORT/LGH-TW15-069.pdf","등급외"))))))</f>
        <v>2등급</v>
      </c>
      <c r="L226" s="5">
        <v>0.90790000000000004</v>
      </c>
      <c r="M226" s="5" t="s">
        <v>22</v>
      </c>
      <c r="N226" s="5" t="s">
        <v>607</v>
      </c>
      <c r="O226" s="5" t="s">
        <v>19</v>
      </c>
      <c r="P226" s="5" t="s">
        <v>19</v>
      </c>
      <c r="Q226" s="5" t="s">
        <v>19</v>
      </c>
      <c r="R226" s="5" t="s">
        <v>19</v>
      </c>
      <c r="S226" s="5" t="s">
        <v>19</v>
      </c>
      <c r="T226" s="5" t="s">
        <v>19</v>
      </c>
      <c r="U226" s="5" t="s">
        <v>19</v>
      </c>
      <c r="V226" s="5" t="s">
        <v>19</v>
      </c>
      <c r="W226" s="5" t="s">
        <v>19</v>
      </c>
      <c r="X226" s="19">
        <f t="shared" si="1"/>
        <v>0.90790000000000004</v>
      </c>
    </row>
    <row r="227" spans="1:24">
      <c r="A227" t="s">
        <v>57</v>
      </c>
      <c r="B227" t="s">
        <v>58</v>
      </c>
      <c r="C227" t="s">
        <v>20</v>
      </c>
      <c r="D227" t="s">
        <v>25</v>
      </c>
      <c r="E227" t="s">
        <v>19</v>
      </c>
      <c r="F227" t="s">
        <v>19</v>
      </c>
      <c r="G227" t="s">
        <v>19</v>
      </c>
      <c r="H227" t="s">
        <v>25</v>
      </c>
      <c r="I227" t="s">
        <v>19</v>
      </c>
      <c r="J227" t="s">
        <v>99</v>
      </c>
      <c r="K227" s="21" t="str">
        <f>IF(X227&lt;=0.9,HYPERLINK("http://www.lxhausys.co.kr/popup/rn/download/downloadPopup.jsp?from=plwindow&amp;uu=/upload/window/REPORT/LGH-TW15-074.pdf","1등급"),IF(X227&lt;=1.2,HYPERLINK("http://www.lxhausys.co.kr/popup/rn/download/downloadPopup.jsp?from=plwindow&amp;uu=/upload/window/REPORT/LGH-TW15-074.pdf","2등급"),IF(X227&lt;=1.8,HYPERLINK("http://www.lxhausys.co.kr/popup/rn/download/downloadPopup.jsp?from=plwindow&amp;uu=/upload/window/REPORT/LGH-TW15-074.pdf","3등급"),IF(X227&lt;=2.3,HYPERLINK("http://www.lxhausys.co.kr/popup/rn/download/downloadPopup.jsp?from=plwindow&amp;uu=/upload/window/REPORT/LGH-TW15-074.pdf","4등급"),IF(X227&lt;=2.8,HYPERLINK("http://www.lxhausys.co.kr/popup/rn/download/downloadPopup.jsp?from=plwindow&amp;uu=/upload/window/REPORT/LGH-TW15-074.pdf","5등급"),HYPERLINK("http://www.lxhausys.co.kr/popup/rn/download/downloadPopup.jsp?from=plwindow&amp;uu=/upload/window/REPORT/LGH-TW15-074.pdf","등급외"))))))</f>
        <v>5등급</v>
      </c>
      <c r="L227" s="5">
        <v>2.7412000000000001</v>
      </c>
      <c r="M227" s="5" t="s">
        <v>22</v>
      </c>
      <c r="N227" s="5" t="s">
        <v>607</v>
      </c>
      <c r="O227" s="5" t="s">
        <v>19</v>
      </c>
      <c r="P227" s="5" t="s">
        <v>19</v>
      </c>
      <c r="Q227" s="5" t="s">
        <v>19</v>
      </c>
      <c r="R227" s="5" t="s">
        <v>19</v>
      </c>
      <c r="S227" s="5" t="s">
        <v>19</v>
      </c>
      <c r="T227" s="5" t="s">
        <v>19</v>
      </c>
      <c r="U227" s="5" t="s">
        <v>19</v>
      </c>
      <c r="V227" s="5" t="s">
        <v>19</v>
      </c>
      <c r="W227" s="5" t="s">
        <v>19</v>
      </c>
      <c r="X227" s="19">
        <f t="shared" si="1"/>
        <v>2.7412000000000001</v>
      </c>
    </row>
    <row r="228" spans="1:24">
      <c r="A228" t="s">
        <v>27</v>
      </c>
      <c r="B228" t="s">
        <v>19</v>
      </c>
      <c r="C228" t="s">
        <v>20</v>
      </c>
      <c r="D228" t="s">
        <v>25</v>
      </c>
      <c r="E228" t="s">
        <v>87</v>
      </c>
      <c r="F228" t="s">
        <v>19</v>
      </c>
      <c r="G228" t="s">
        <v>19</v>
      </c>
      <c r="H228" t="s">
        <v>21</v>
      </c>
      <c r="I228" t="s">
        <v>19</v>
      </c>
      <c r="J228" t="s">
        <v>97</v>
      </c>
      <c r="K228" s="21" t="str">
        <f>IF(X228&lt;=0.9,HYPERLINK("http://www.lxhausys.co.kr/popup/rn/download/downloadPopup.jsp?from=plwindow&amp;uu=/upload/window/REPORT/LGH-TW15-075.pdf","1등급"),IF(X228&lt;=1.2,HYPERLINK("http://www.lxhausys.co.kr/popup/rn/download/downloadPopup.jsp?from=plwindow&amp;uu=/upload/window/REPORT/LGH-TW15-075.pdf","2등급"),IF(X228&lt;=1.8,HYPERLINK("http://www.lxhausys.co.kr/popup/rn/download/downloadPopup.jsp?from=plwindow&amp;uu=/upload/window/REPORT/LGH-TW15-075.pdf","3등급"),IF(X228&lt;=2.3,HYPERLINK("http://www.lxhausys.co.kr/popup/rn/download/downloadPopup.jsp?from=plwindow&amp;uu=/upload/window/REPORT/LGH-TW15-075.pdf","4등급"),IF(X228&lt;=2.8,HYPERLINK("http://www.lxhausys.co.kr/popup/rn/download/downloadPopup.jsp?from=plwindow&amp;uu=/upload/window/REPORT/LGH-TW15-075.pdf","5등급"),HYPERLINK("http://www.lxhausys.co.kr/popup/rn/download/downloadPopup.jsp?from=plwindow&amp;uu=/upload/window/REPORT/LGH-TW15-075.pdf","등급외"))))))</f>
        <v>1등급</v>
      </c>
      <c r="L228" s="5">
        <v>0.81459999999999999</v>
      </c>
      <c r="M228" s="5" t="s">
        <v>22</v>
      </c>
      <c r="N228" s="5" t="s">
        <v>607</v>
      </c>
      <c r="O228" s="5" t="s">
        <v>19</v>
      </c>
      <c r="P228" s="5" t="s">
        <v>19</v>
      </c>
      <c r="Q228" s="5" t="s">
        <v>19</v>
      </c>
      <c r="R228" s="5" t="s">
        <v>19</v>
      </c>
      <c r="S228" s="5" t="s">
        <v>19</v>
      </c>
      <c r="T228" s="5" t="s">
        <v>19</v>
      </c>
      <c r="U228" s="5" t="s">
        <v>19</v>
      </c>
      <c r="V228" s="5" t="s">
        <v>19</v>
      </c>
      <c r="W228" s="5" t="s">
        <v>19</v>
      </c>
      <c r="X228" s="19">
        <f t="shared" si="1"/>
        <v>0.81459999999999999</v>
      </c>
    </row>
    <row r="229" spans="1:24">
      <c r="A229" t="s">
        <v>59</v>
      </c>
      <c r="B229" t="s">
        <v>19</v>
      </c>
      <c r="C229" t="s">
        <v>20</v>
      </c>
      <c r="D229" t="s">
        <v>25</v>
      </c>
      <c r="E229" t="s">
        <v>19</v>
      </c>
      <c r="F229" t="s">
        <v>19</v>
      </c>
      <c r="G229" t="s">
        <v>19</v>
      </c>
      <c r="H229" t="s">
        <v>19</v>
      </c>
      <c r="I229" t="s">
        <v>19</v>
      </c>
      <c r="J229" t="s">
        <v>97</v>
      </c>
      <c r="K229" s="21" t="str">
        <f>IF(X229&lt;=0.9,HYPERLINK("http://www.lxhausys.co.kr/popup/rn/download/downloadPopup.jsp?from=plwindow&amp;uu=/upload/window/REPORT/LGH-TW15-076.pdf","1등급"),IF(X229&lt;=1.2,HYPERLINK("http://www.lxhausys.co.kr/popup/rn/download/downloadPopup.jsp?from=plwindow&amp;uu=/upload/window/REPORT/LGH-TW15-076.pdf","2등급"),IF(X229&lt;=1.8,HYPERLINK("http://www.lxhausys.co.kr/popup/rn/download/downloadPopup.jsp?from=plwindow&amp;uu=/upload/window/REPORT/LGH-TW15-076.pdf","3등급"),IF(X229&lt;=2.3,HYPERLINK("http://www.lxhausys.co.kr/popup/rn/download/downloadPopup.jsp?from=plwindow&amp;uu=/upload/window/REPORT/LGH-TW15-076.pdf","4등급"),IF(X229&lt;=2.8,HYPERLINK("http://www.lxhausys.co.kr/popup/rn/download/downloadPopup.jsp?from=plwindow&amp;uu=/upload/window/REPORT/LGH-TW15-076.pdf","5등급"),HYPERLINK("http://www.lxhausys.co.kr/popup/rn/download/downloadPopup.jsp?from=plwindow&amp;uu=/upload/window/REPORT/LGH-TW15-076.pdf","등급외"))))))</f>
        <v>5등급</v>
      </c>
      <c r="L229" s="5">
        <v>2.6469</v>
      </c>
      <c r="M229" s="5" t="s">
        <v>103</v>
      </c>
      <c r="N229" s="5" t="s">
        <v>607</v>
      </c>
      <c r="O229" s="5" t="s">
        <v>19</v>
      </c>
      <c r="P229" s="5" t="s">
        <v>19</v>
      </c>
      <c r="Q229" s="5" t="s">
        <v>19</v>
      </c>
      <c r="R229" s="5" t="s">
        <v>19</v>
      </c>
      <c r="S229" s="5" t="s">
        <v>19</v>
      </c>
      <c r="T229" s="5" t="s">
        <v>19</v>
      </c>
      <c r="U229" s="5" t="s">
        <v>19</v>
      </c>
      <c r="V229" s="5" t="s">
        <v>19</v>
      </c>
      <c r="W229" s="5" t="s">
        <v>19</v>
      </c>
      <c r="X229" s="19">
        <f t="shared" si="1"/>
        <v>2.6469</v>
      </c>
    </row>
    <row r="230" spans="1:24">
      <c r="A230" t="s">
        <v>59</v>
      </c>
      <c r="B230" t="s">
        <v>19</v>
      </c>
      <c r="C230" t="s">
        <v>20</v>
      </c>
      <c r="D230" t="s">
        <v>64</v>
      </c>
      <c r="E230" t="s">
        <v>19</v>
      </c>
      <c r="F230" t="s">
        <v>19</v>
      </c>
      <c r="G230" t="s">
        <v>19</v>
      </c>
      <c r="H230" t="s">
        <v>19</v>
      </c>
      <c r="I230" t="s">
        <v>19</v>
      </c>
      <c r="J230" t="s">
        <v>97</v>
      </c>
      <c r="K230" s="21" t="str">
        <f>IF(X230&lt;=0.9,HYPERLINK("http://www.lxhausys.co.kr/popup/rn/download/downloadPopup.jsp?from=plwindow&amp;uu=/upload/window/REPORT/LGH-TW15-077.pdf","1등급"),IF(X230&lt;=1.2,HYPERLINK("http://www.lxhausys.co.kr/popup/rn/download/downloadPopup.jsp?from=plwindow&amp;uu=/upload/window/REPORT/LGH-TW15-077.pdf","2등급"),IF(X230&lt;=1.8,HYPERLINK("http://www.lxhausys.co.kr/popup/rn/download/downloadPopup.jsp?from=plwindow&amp;uu=/upload/window/REPORT/LGH-TW15-077.pdf","3등급"),IF(X230&lt;=2.3,HYPERLINK("http://www.lxhausys.co.kr/popup/rn/download/downloadPopup.jsp?from=plwindow&amp;uu=/upload/window/REPORT/LGH-TW15-077.pdf","4등급"),IF(X230&lt;=2.8,HYPERLINK("http://www.lxhausys.co.kr/popup/rn/download/downloadPopup.jsp?from=plwindow&amp;uu=/upload/window/REPORT/LGH-TW15-077.pdf","5등급"),HYPERLINK("http://www.lxhausys.co.kr/popup/rn/download/downloadPopup.jsp?from=plwindow&amp;uu=/upload/window/REPORT/LGH-TW15-077.pdf","등급외"))))))</f>
        <v>4등급</v>
      </c>
      <c r="L230" s="5">
        <v>1.8871</v>
      </c>
      <c r="M230" s="5" t="s">
        <v>103</v>
      </c>
      <c r="N230" s="5" t="s">
        <v>607</v>
      </c>
      <c r="O230" s="5" t="s">
        <v>19</v>
      </c>
      <c r="P230" s="5" t="s">
        <v>19</v>
      </c>
      <c r="Q230" s="5" t="s">
        <v>19</v>
      </c>
      <c r="R230" s="5" t="s">
        <v>19</v>
      </c>
      <c r="S230" s="5" t="s">
        <v>19</v>
      </c>
      <c r="T230" s="5" t="s">
        <v>19</v>
      </c>
      <c r="U230" s="5" t="s">
        <v>19</v>
      </c>
      <c r="V230" s="5" t="s">
        <v>19</v>
      </c>
      <c r="W230" s="5" t="s">
        <v>19</v>
      </c>
      <c r="X230" s="19">
        <f t="shared" si="1"/>
        <v>1.8871</v>
      </c>
    </row>
    <row r="231" spans="1:24">
      <c r="A231" t="s">
        <v>59</v>
      </c>
      <c r="B231" t="s">
        <v>19</v>
      </c>
      <c r="C231" t="s">
        <v>20</v>
      </c>
      <c r="D231" t="s">
        <v>53</v>
      </c>
      <c r="E231" t="s">
        <v>19</v>
      </c>
      <c r="F231" t="s">
        <v>19</v>
      </c>
      <c r="G231" t="s">
        <v>19</v>
      </c>
      <c r="H231" t="s">
        <v>19</v>
      </c>
      <c r="I231" t="s">
        <v>19</v>
      </c>
      <c r="J231" t="s">
        <v>97</v>
      </c>
      <c r="K231" s="21" t="str">
        <f>IF(X231&lt;=0.9,HYPERLINK("http://www.lxhausys.co.kr/popup/rn/download/downloadPopup.jsp?from=plwindow&amp;uu=/upload/window/REPORT/LGH-TW15-078.pdf","1등급"),IF(X231&lt;=1.2,HYPERLINK("http://www.lxhausys.co.kr/popup/rn/download/downloadPopup.jsp?from=plwindow&amp;uu=/upload/window/REPORT/LGH-TW15-078.pdf","2등급"),IF(X231&lt;=1.8,HYPERLINK("http://www.lxhausys.co.kr/popup/rn/download/downloadPopup.jsp?from=plwindow&amp;uu=/upload/window/REPORT/LGH-TW15-078.pdf","3등급"),IF(X231&lt;=2.3,HYPERLINK("http://www.lxhausys.co.kr/popup/rn/download/downloadPopup.jsp?from=plwindow&amp;uu=/upload/window/REPORT/LGH-TW15-078.pdf","4등급"),IF(X231&lt;=2.8,HYPERLINK("http://www.lxhausys.co.kr/popup/rn/download/downloadPopup.jsp?from=plwindow&amp;uu=/upload/window/REPORT/LGH-TW15-078.pdf","5등급"),HYPERLINK("http://www.lxhausys.co.kr/popup/rn/download/downloadPopup.jsp?from=plwindow&amp;uu=/upload/window/REPORT/LGH-TW15-078.pdf","등급외"))))))</f>
        <v>3등급</v>
      </c>
      <c r="L231" s="5">
        <v>1.6517999999999999</v>
      </c>
      <c r="M231" s="5" t="s">
        <v>103</v>
      </c>
      <c r="N231" s="5" t="s">
        <v>607</v>
      </c>
      <c r="O231" s="5" t="s">
        <v>19</v>
      </c>
      <c r="P231" s="5" t="s">
        <v>19</v>
      </c>
      <c r="Q231" s="5" t="s">
        <v>19</v>
      </c>
      <c r="R231" s="5" t="s">
        <v>19</v>
      </c>
      <c r="S231" s="5" t="s">
        <v>19</v>
      </c>
      <c r="T231" s="5" t="s">
        <v>19</v>
      </c>
      <c r="U231" s="5" t="s">
        <v>19</v>
      </c>
      <c r="V231" s="5" t="s">
        <v>19</v>
      </c>
      <c r="W231" s="5" t="s">
        <v>19</v>
      </c>
      <c r="X231" s="19">
        <f t="shared" si="1"/>
        <v>1.6517999999999999</v>
      </c>
    </row>
    <row r="232" spans="1:24">
      <c r="A232" t="s">
        <v>60</v>
      </c>
      <c r="B232" t="s">
        <v>19</v>
      </c>
      <c r="C232" t="s">
        <v>20</v>
      </c>
      <c r="D232" t="s">
        <v>25</v>
      </c>
      <c r="E232" t="s">
        <v>19</v>
      </c>
      <c r="F232" t="s">
        <v>19</v>
      </c>
      <c r="G232" t="s">
        <v>19</v>
      </c>
      <c r="H232" t="s">
        <v>25</v>
      </c>
      <c r="I232" t="s">
        <v>19</v>
      </c>
      <c r="J232" t="s">
        <v>97</v>
      </c>
      <c r="K232" s="21" t="str">
        <f>IF(X232&lt;=0.9,HYPERLINK("http://www.lxhausys.co.kr/popup/rn/download/downloadPopup.jsp?from=plwindow&amp;uu=/upload/window/REPORT/LGH-TW15-079.pdf","1등급"),IF(X232&lt;=1.2,HYPERLINK("http://www.lxhausys.co.kr/popup/rn/download/downloadPopup.jsp?from=plwindow&amp;uu=/upload/window/REPORT/LGH-TW15-079.pdf","2등급"),IF(X232&lt;=1.8,HYPERLINK("http://www.lxhausys.co.kr/popup/rn/download/downloadPopup.jsp?from=plwindow&amp;uu=/upload/window/REPORT/LGH-TW15-079.pdf","3등급"),IF(X232&lt;=2.3,HYPERLINK("http://www.lxhausys.co.kr/popup/rn/download/downloadPopup.jsp?from=plwindow&amp;uu=/upload/window/REPORT/LGH-TW15-079.pdf","4등급"),IF(X232&lt;=2.8,HYPERLINK("http://www.lxhausys.co.kr/popup/rn/download/downloadPopup.jsp?from=plwindow&amp;uu=/upload/window/REPORT/LGH-TW15-079.pdf","5등급"),HYPERLINK("http://www.lxhausys.co.kr/popup/rn/download/downloadPopup.jsp?from=plwindow&amp;uu=/upload/window/REPORT/LGH-TW15-079.pdf","등급외"))))))</f>
        <v>2등급</v>
      </c>
      <c r="L232" s="5">
        <v>1.1777</v>
      </c>
      <c r="M232" s="5" t="s">
        <v>22</v>
      </c>
      <c r="N232" s="5" t="s">
        <v>607</v>
      </c>
      <c r="O232" s="5" t="s">
        <v>19</v>
      </c>
      <c r="P232" s="5" t="s">
        <v>19</v>
      </c>
      <c r="Q232" s="5" t="s">
        <v>19</v>
      </c>
      <c r="R232" s="5" t="s">
        <v>19</v>
      </c>
      <c r="S232" s="5" t="s">
        <v>19</v>
      </c>
      <c r="T232" s="5" t="s">
        <v>19</v>
      </c>
      <c r="U232" s="5" t="s">
        <v>19</v>
      </c>
      <c r="V232" s="5" t="s">
        <v>19</v>
      </c>
      <c r="W232" s="5" t="s">
        <v>19</v>
      </c>
      <c r="X232" s="19">
        <f t="shared" si="1"/>
        <v>1.1777</v>
      </c>
    </row>
    <row r="233" spans="1:24">
      <c r="A233" t="s">
        <v>60</v>
      </c>
      <c r="B233" t="s">
        <v>19</v>
      </c>
      <c r="C233" t="s">
        <v>20</v>
      </c>
      <c r="D233" t="s">
        <v>25</v>
      </c>
      <c r="E233" t="s">
        <v>19</v>
      </c>
      <c r="F233" t="s">
        <v>19</v>
      </c>
      <c r="G233" t="s">
        <v>19</v>
      </c>
      <c r="H233" t="s">
        <v>64</v>
      </c>
      <c r="I233" t="s">
        <v>19</v>
      </c>
      <c r="J233" t="s">
        <v>97</v>
      </c>
      <c r="K233" s="21" t="str">
        <f>IF(X233&lt;=0.9,HYPERLINK("http://www.lxhausys.co.kr/popup/rn/download/downloadPopup.jsp?from=plwindow&amp;uu=/upload/window/REPORT/LGH-TW15-080.pdf","1등급"),IF(X233&lt;=1.2,HYPERLINK("http://www.lxhausys.co.kr/popup/rn/download/downloadPopup.jsp?from=plwindow&amp;uu=/upload/window/REPORT/LGH-TW15-080.pdf","2등급"),IF(X233&lt;=1.8,HYPERLINK("http://www.lxhausys.co.kr/popup/rn/download/downloadPopup.jsp?from=plwindow&amp;uu=/upload/window/REPORT/LGH-TW15-080.pdf","3등급"),IF(X233&lt;=2.3,HYPERLINK("http://www.lxhausys.co.kr/popup/rn/download/downloadPopup.jsp?from=plwindow&amp;uu=/upload/window/REPORT/LGH-TW15-080.pdf","4등급"),IF(X233&lt;=2.8,HYPERLINK("http://www.lxhausys.co.kr/popup/rn/download/downloadPopup.jsp?from=plwindow&amp;uu=/upload/window/REPORT/LGH-TW15-080.pdf","5등급"),HYPERLINK("http://www.lxhausys.co.kr/popup/rn/download/downloadPopup.jsp?from=plwindow&amp;uu=/upload/window/REPORT/LGH-TW15-080.pdf","등급외"))))))</f>
        <v>2등급</v>
      </c>
      <c r="L233" s="5">
        <v>0.94869999999999999</v>
      </c>
      <c r="M233" s="5" t="s">
        <v>22</v>
      </c>
      <c r="N233" s="5" t="s">
        <v>607</v>
      </c>
      <c r="O233" s="5" t="s">
        <v>19</v>
      </c>
      <c r="P233" s="5" t="s">
        <v>19</v>
      </c>
      <c r="Q233" s="5" t="s">
        <v>19</v>
      </c>
      <c r="R233" s="5" t="s">
        <v>19</v>
      </c>
      <c r="S233" s="5" t="s">
        <v>19</v>
      </c>
      <c r="T233" s="5" t="s">
        <v>19</v>
      </c>
      <c r="U233" s="5" t="s">
        <v>19</v>
      </c>
      <c r="V233" s="5" t="s">
        <v>19</v>
      </c>
      <c r="W233" s="5" t="s">
        <v>19</v>
      </c>
      <c r="X233" s="19">
        <f t="shared" si="1"/>
        <v>0.94869999999999999</v>
      </c>
    </row>
    <row r="234" spans="1:24">
      <c r="A234" t="s">
        <v>60</v>
      </c>
      <c r="B234" t="s">
        <v>19</v>
      </c>
      <c r="C234" t="s">
        <v>20</v>
      </c>
      <c r="D234" t="s">
        <v>25</v>
      </c>
      <c r="E234" t="s">
        <v>19</v>
      </c>
      <c r="F234" t="s">
        <v>19</v>
      </c>
      <c r="G234" t="s">
        <v>19</v>
      </c>
      <c r="H234" t="s">
        <v>53</v>
      </c>
      <c r="I234" t="s">
        <v>19</v>
      </c>
      <c r="J234" t="s">
        <v>97</v>
      </c>
      <c r="K234" s="21" t="str">
        <f>IF(X234&lt;=0.9,HYPERLINK("http://www.lxhausys.co.kr/popup/rn/download/downloadPopup.jsp?from=plwindow&amp;uu=/upload/window/REPORT/LGH-TW15-081.pdf","1등급"),IF(X234&lt;=1.2,HYPERLINK("http://www.lxhausys.co.kr/popup/rn/download/downloadPopup.jsp?from=plwindow&amp;uu=/upload/window/REPORT/LGH-TW15-081.pdf","2등급"),IF(X234&lt;=1.8,HYPERLINK("http://www.lxhausys.co.kr/popup/rn/download/downloadPopup.jsp?from=plwindow&amp;uu=/upload/window/REPORT/LGH-TW15-081.pdf","3등급"),IF(X234&lt;=2.3,HYPERLINK("http://www.lxhausys.co.kr/popup/rn/download/downloadPopup.jsp?from=plwindow&amp;uu=/upload/window/REPORT/LGH-TW15-081.pdf","4등급"),IF(X234&lt;=2.8,HYPERLINK("http://www.lxhausys.co.kr/popup/rn/download/downloadPopup.jsp?from=plwindow&amp;uu=/upload/window/REPORT/LGH-TW15-081.pdf","5등급"),HYPERLINK("http://www.lxhausys.co.kr/popup/rn/download/downloadPopup.jsp?from=plwindow&amp;uu=/upload/window/REPORT/LGH-TW15-081.pdf","등급외"))))))</f>
        <v>1등급</v>
      </c>
      <c r="L234" s="5">
        <v>0.84389999999999998</v>
      </c>
      <c r="M234" s="5" t="s">
        <v>22</v>
      </c>
      <c r="N234" s="5" t="s">
        <v>607</v>
      </c>
      <c r="O234" s="5" t="s">
        <v>19</v>
      </c>
      <c r="P234" s="5" t="s">
        <v>19</v>
      </c>
      <c r="Q234" s="5" t="s">
        <v>19</v>
      </c>
      <c r="R234" s="5" t="s">
        <v>19</v>
      </c>
      <c r="S234" s="5" t="s">
        <v>19</v>
      </c>
      <c r="T234" s="5" t="s">
        <v>19</v>
      </c>
      <c r="U234" s="5" t="s">
        <v>19</v>
      </c>
      <c r="V234" s="5" t="s">
        <v>19</v>
      </c>
      <c r="W234" s="5" t="s">
        <v>19</v>
      </c>
      <c r="X234" s="19">
        <f t="shared" si="1"/>
        <v>0.84389999999999998</v>
      </c>
    </row>
    <row r="235" spans="1:24">
      <c r="A235" t="s">
        <v>19</v>
      </c>
      <c r="B235" t="s">
        <v>90</v>
      </c>
      <c r="C235" t="s">
        <v>20</v>
      </c>
      <c r="D235" t="s">
        <v>64</v>
      </c>
      <c r="E235" t="s">
        <v>19</v>
      </c>
      <c r="F235" t="s">
        <v>19</v>
      </c>
      <c r="G235" t="s">
        <v>19</v>
      </c>
      <c r="H235" t="s">
        <v>64</v>
      </c>
      <c r="I235" t="s">
        <v>19</v>
      </c>
      <c r="J235" t="s">
        <v>97</v>
      </c>
      <c r="K235" s="21" t="str">
        <f>IF(X235&lt;=0.9,HYPERLINK("http://www.lxhausys.co.kr/popup/rn/download/downloadPopup.jsp?from=plwindow&amp;uu=/upload/window/REPORT/LGH-TW15-084.pdf","1등급"),IF(X235&lt;=1.2,HYPERLINK("http://www.lxhausys.co.kr/popup/rn/download/downloadPopup.jsp?from=plwindow&amp;uu=/upload/window/REPORT/LGH-TW15-084.pdf","2등급"),IF(X235&lt;=1.8,HYPERLINK("http://www.lxhausys.co.kr/popup/rn/download/downloadPopup.jsp?from=plwindow&amp;uu=/upload/window/REPORT/LGH-TW15-084.pdf","3등급"),IF(X235&lt;=2.3,HYPERLINK("http://www.lxhausys.co.kr/popup/rn/download/downloadPopup.jsp?from=plwindow&amp;uu=/upload/window/REPORT/LGH-TW15-084.pdf","4등급"),IF(X235&lt;=2.8,HYPERLINK("http://www.lxhausys.co.kr/popup/rn/download/downloadPopup.jsp?from=plwindow&amp;uu=/upload/window/REPORT/LGH-TW15-084.pdf","5등급"),HYPERLINK("http://www.lxhausys.co.kr/popup/rn/download/downloadPopup.jsp?from=plwindow&amp;uu=/upload/window/REPORT/LGH-TW15-084.pdf","등급외"))))))</f>
        <v>1등급</v>
      </c>
      <c r="L235" s="5">
        <v>0.80789999999999995</v>
      </c>
      <c r="M235" s="5" t="s">
        <v>22</v>
      </c>
      <c r="N235" s="5" t="s">
        <v>607</v>
      </c>
      <c r="O235" s="5" t="s">
        <v>19</v>
      </c>
      <c r="P235" s="5" t="s">
        <v>19</v>
      </c>
      <c r="Q235" s="5" t="s">
        <v>19</v>
      </c>
      <c r="R235" s="5" t="s">
        <v>19</v>
      </c>
      <c r="S235" s="5" t="s">
        <v>19</v>
      </c>
      <c r="T235" s="5" t="s">
        <v>19</v>
      </c>
      <c r="U235" s="5" t="s">
        <v>19</v>
      </c>
      <c r="V235" s="5" t="s">
        <v>19</v>
      </c>
      <c r="W235" s="5" t="s">
        <v>19</v>
      </c>
      <c r="X235" s="19">
        <f t="shared" si="1"/>
        <v>0.80789999999999995</v>
      </c>
    </row>
    <row r="236" spans="1:24">
      <c r="A236" t="s">
        <v>127</v>
      </c>
      <c r="B236" t="s">
        <v>19</v>
      </c>
      <c r="C236" t="s">
        <v>20</v>
      </c>
      <c r="D236" t="s">
        <v>128</v>
      </c>
      <c r="E236" t="s">
        <v>19</v>
      </c>
      <c r="F236" t="s">
        <v>19</v>
      </c>
      <c r="G236" t="s">
        <v>19</v>
      </c>
      <c r="H236" t="s">
        <v>19</v>
      </c>
      <c r="I236" t="s">
        <v>19</v>
      </c>
      <c r="J236" t="s">
        <v>97</v>
      </c>
      <c r="K236" s="21" t="str">
        <f>IF(X236&lt;=0.9,HYPERLINK("http://www.lxhausys.co.kr/popup/rn/download/downloadPopup.jsp?from=plwindow&amp;uu=/upload/window/REPORT/LGH-TW15-099.pdf","1등급"),IF(X236&lt;=1.2,HYPERLINK("http://www.lxhausys.co.kr/popup/rn/download/downloadPopup.jsp?from=plwindow&amp;uu=/upload/window/REPORT/LGH-TW15-099.pdf","2등급"),IF(X236&lt;=1.8,HYPERLINK("http://www.lxhausys.co.kr/popup/rn/download/downloadPopup.jsp?from=plwindow&amp;uu=/upload/window/REPORT/LGH-TW15-099.pdf","3등급"),IF(X236&lt;=2.3,HYPERLINK("http://www.lxhausys.co.kr/popup/rn/download/downloadPopup.jsp?from=plwindow&amp;uu=/upload/window/REPORT/LGH-TW15-099.pdf","4등급"),IF(X236&lt;=2.8,HYPERLINK("http://www.lxhausys.co.kr/popup/rn/download/downloadPopup.jsp?from=plwindow&amp;uu=/upload/window/REPORT/LGH-TW15-099.pdf","5등급"),HYPERLINK("http://www.lxhausys.co.kr/popup/rn/download/downloadPopup.jsp?from=plwindow&amp;uu=/upload/window/REPORT/LGH-TW15-099.pdf","등급외"))))))</f>
        <v>4등급</v>
      </c>
      <c r="L236" s="5">
        <v>1.9399</v>
      </c>
      <c r="M236" s="5" t="s">
        <v>103</v>
      </c>
      <c r="N236" s="5" t="s">
        <v>607</v>
      </c>
      <c r="O236" s="5" t="s">
        <v>19</v>
      </c>
      <c r="P236" s="5" t="s">
        <v>19</v>
      </c>
      <c r="Q236" s="5" t="s">
        <v>19</v>
      </c>
      <c r="R236" s="5" t="s">
        <v>19</v>
      </c>
      <c r="S236" s="5" t="s">
        <v>19</v>
      </c>
      <c r="T236" s="5" t="s">
        <v>19</v>
      </c>
      <c r="U236" s="5" t="s">
        <v>19</v>
      </c>
      <c r="V236" s="5" t="s">
        <v>19</v>
      </c>
      <c r="W236" s="5" t="s">
        <v>19</v>
      </c>
      <c r="X236" s="19">
        <f t="shared" si="1"/>
        <v>1.9399</v>
      </c>
    </row>
    <row r="237" spans="1:24">
      <c r="A237" t="s">
        <v>441</v>
      </c>
      <c r="B237" t="s">
        <v>19</v>
      </c>
      <c r="C237" t="s">
        <v>20</v>
      </c>
      <c r="D237" t="s">
        <v>129</v>
      </c>
      <c r="E237" t="s">
        <v>19</v>
      </c>
      <c r="F237" t="s">
        <v>19</v>
      </c>
      <c r="G237" t="s">
        <v>19</v>
      </c>
      <c r="H237" t="s">
        <v>19</v>
      </c>
      <c r="I237" t="s">
        <v>19</v>
      </c>
      <c r="J237" t="s">
        <v>97</v>
      </c>
      <c r="K237" s="21" t="str">
        <f>IF(X237&lt;=0.9,HYPERLINK("http://www.lxhausys.co.kr/popup/rn/download/downloadPopup.jsp?from=plwindow&amp;uu=/upload/window/REPORT/LGH-TW15-100.pdf","1등급"),IF(X237&lt;=1.2,HYPERLINK("http://www.lxhausys.co.kr/popup/rn/download/downloadPopup.jsp?from=plwindow&amp;uu=/upload/window/REPORT/LGH-TW15-100.pdf","2등급"),IF(X237&lt;=1.8,HYPERLINK("http://www.lxhausys.co.kr/popup/rn/download/downloadPopup.jsp?from=plwindow&amp;uu=/upload/window/REPORT/LGH-TW15-100.pdf","3등급"),IF(X237&lt;=2.3,HYPERLINK("http://www.lxhausys.co.kr/popup/rn/download/downloadPopup.jsp?from=plwindow&amp;uu=/upload/window/REPORT/LGH-TW15-100.pdf","4등급"),IF(X237&lt;=2.8,HYPERLINK("http://www.lxhausys.co.kr/popup/rn/download/downloadPopup.jsp?from=plwindow&amp;uu=/upload/window/REPORT/LGH-TW15-100.pdf","5등급"),HYPERLINK("http://www.lxhausys.co.kr/popup/rn/download/downloadPopup.jsp?from=plwindow&amp;uu=/upload/window/REPORT/LGH-TW15-100.pdf","등급외"))))))</f>
        <v>1등급</v>
      </c>
      <c r="L237" s="5">
        <v>0.83400000000000007</v>
      </c>
      <c r="M237" s="5" t="s">
        <v>22</v>
      </c>
      <c r="N237" s="5" t="s">
        <v>607</v>
      </c>
      <c r="O237" s="5" t="s">
        <v>19</v>
      </c>
      <c r="P237" s="5" t="s">
        <v>19</v>
      </c>
      <c r="Q237" s="5" t="s">
        <v>19</v>
      </c>
      <c r="R237" s="5" t="s">
        <v>19</v>
      </c>
      <c r="S237" s="5" t="s">
        <v>19</v>
      </c>
      <c r="T237" s="5" t="s">
        <v>19</v>
      </c>
      <c r="U237" s="5" t="s">
        <v>19</v>
      </c>
      <c r="V237" s="5" t="s">
        <v>19</v>
      </c>
      <c r="W237" s="5" t="s">
        <v>19</v>
      </c>
      <c r="X237" s="19">
        <f t="shared" si="1"/>
        <v>0.83400000000000007</v>
      </c>
    </row>
    <row r="238" spans="1:24">
      <c r="A238" t="s">
        <v>62</v>
      </c>
      <c r="B238" t="s">
        <v>19</v>
      </c>
      <c r="C238" t="s">
        <v>20</v>
      </c>
      <c r="D238" t="s">
        <v>25</v>
      </c>
      <c r="E238" t="s">
        <v>19</v>
      </c>
      <c r="F238" t="s">
        <v>19</v>
      </c>
      <c r="G238" t="s">
        <v>19</v>
      </c>
      <c r="H238" t="s">
        <v>28</v>
      </c>
      <c r="I238" t="s">
        <v>19</v>
      </c>
      <c r="J238" t="s">
        <v>74</v>
      </c>
      <c r="K238" s="21" t="str">
        <f>IF(X238&lt;=0.9,HYPERLINK("http://www.lxhausys.co.kr/popup/rn/download/downloadPopup.jsp?from=plwindow&amp;uu=/upload/window/REPORT/LGH-TW16-001.pdf","1등급"),IF(X238&lt;=1.2,HYPERLINK("http://www.lxhausys.co.kr/popup/rn/download/downloadPopup.jsp?from=plwindow&amp;uu=/upload/window/REPORT/LGH-TW16-001.pdf","2등급"),IF(X238&lt;=1.8,HYPERLINK("http://www.lxhausys.co.kr/popup/rn/download/downloadPopup.jsp?from=plwindow&amp;uu=/upload/window/REPORT/LGH-TW16-001.pdf","3등급"),IF(X238&lt;=2.3,HYPERLINK("http://www.lxhausys.co.kr/popup/rn/download/downloadPopup.jsp?from=plwindow&amp;uu=/upload/window/REPORT/LGH-TW16-001.pdf","4등급"),IF(X238&lt;=2.8,HYPERLINK("http://www.lxhausys.co.kr/popup/rn/download/downloadPopup.jsp?from=plwindow&amp;uu=/upload/window/REPORT/LGH-TW16-001.pdf","5등급"),HYPERLINK("http://www.lxhausys.co.kr/popup/rn/download/downloadPopup.jsp?from=plwindow&amp;uu=/upload/window/REPORT/LGH-TW16-001.pdf","등급외"))))))</f>
        <v>2등급</v>
      </c>
      <c r="L238" s="5">
        <v>1.0394000000000001</v>
      </c>
      <c r="M238" s="5" t="s">
        <v>22</v>
      </c>
      <c r="N238" s="5" t="s">
        <v>607</v>
      </c>
      <c r="O238" s="5" t="s">
        <v>19</v>
      </c>
      <c r="P238" s="5" t="s">
        <v>19</v>
      </c>
      <c r="Q238" s="5" t="s">
        <v>19</v>
      </c>
      <c r="R238" s="5" t="s">
        <v>19</v>
      </c>
      <c r="S238" s="5" t="s">
        <v>19</v>
      </c>
      <c r="T238" s="5" t="s">
        <v>19</v>
      </c>
      <c r="U238" s="5" t="s">
        <v>19</v>
      </c>
      <c r="V238" s="5" t="s">
        <v>19</v>
      </c>
      <c r="W238" s="5" t="s">
        <v>19</v>
      </c>
      <c r="X238" s="19">
        <f t="shared" si="1"/>
        <v>1.0394000000000001</v>
      </c>
    </row>
    <row r="239" spans="1:24">
      <c r="A239" t="s">
        <v>441</v>
      </c>
      <c r="B239" t="s">
        <v>19</v>
      </c>
      <c r="C239" t="s">
        <v>20</v>
      </c>
      <c r="D239" t="s">
        <v>126</v>
      </c>
      <c r="E239" t="s">
        <v>19</v>
      </c>
      <c r="F239" t="s">
        <v>19</v>
      </c>
      <c r="G239" t="s">
        <v>19</v>
      </c>
      <c r="H239" t="s">
        <v>19</v>
      </c>
      <c r="I239" t="s">
        <v>19</v>
      </c>
      <c r="J239" t="s">
        <v>97</v>
      </c>
      <c r="K239" s="21" t="str">
        <f>IF(X239&lt;=0.9,HYPERLINK("http://www.lxhausys.co.kr/popup/rn/download/downloadPopup.jsp?from=plwindow&amp;uu=/upload/window/REPORT/LGH-TW16-002.pdf","1등급"),IF(X239&lt;=1.2,HYPERLINK("http://www.lxhausys.co.kr/popup/rn/download/downloadPopup.jsp?from=plwindow&amp;uu=/upload/window/REPORT/LGH-TW16-002.pdf","2등급"),IF(X239&lt;=1.8,HYPERLINK("http://www.lxhausys.co.kr/popup/rn/download/downloadPopup.jsp?from=plwindow&amp;uu=/upload/window/REPORT/LGH-TW16-002.pdf","3등급"),IF(X239&lt;=2.3,HYPERLINK("http://www.lxhausys.co.kr/popup/rn/download/downloadPopup.jsp?from=plwindow&amp;uu=/upload/window/REPORT/LGH-TW16-002.pdf","4등급"),IF(X239&lt;=2.8,HYPERLINK("http://www.lxhausys.co.kr/popup/rn/download/downloadPopup.jsp?from=plwindow&amp;uu=/upload/window/REPORT/LGH-TW16-002.pdf","5등급"),HYPERLINK("http://www.lxhausys.co.kr/popup/rn/download/downloadPopup.jsp?from=plwindow&amp;uu=/upload/window/REPORT/LGH-TW16-002.pdf","등급외"))))))</f>
        <v>3등급</v>
      </c>
      <c r="L239" s="5">
        <v>1.347</v>
      </c>
      <c r="M239" s="5" t="s">
        <v>22</v>
      </c>
      <c r="N239" s="5" t="s">
        <v>607</v>
      </c>
      <c r="O239" s="5" t="s">
        <v>19</v>
      </c>
      <c r="P239" s="5" t="s">
        <v>19</v>
      </c>
      <c r="Q239" s="5" t="s">
        <v>19</v>
      </c>
      <c r="R239" s="5" t="s">
        <v>19</v>
      </c>
      <c r="S239" s="5" t="s">
        <v>19</v>
      </c>
      <c r="T239" s="5" t="s">
        <v>19</v>
      </c>
      <c r="U239" s="5" t="s">
        <v>19</v>
      </c>
      <c r="V239" s="5" t="s">
        <v>19</v>
      </c>
      <c r="W239" s="5" t="s">
        <v>19</v>
      </c>
      <c r="X239" s="19">
        <f t="shared" si="1"/>
        <v>1.347</v>
      </c>
    </row>
    <row r="240" spans="1:24">
      <c r="A240" t="s">
        <v>100</v>
      </c>
      <c r="B240" t="s">
        <v>19</v>
      </c>
      <c r="C240" t="s">
        <v>20</v>
      </c>
      <c r="D240" t="s">
        <v>25</v>
      </c>
      <c r="E240" t="s">
        <v>19</v>
      </c>
      <c r="F240" t="s">
        <v>19</v>
      </c>
      <c r="G240" t="s">
        <v>19</v>
      </c>
      <c r="H240" t="s">
        <v>53</v>
      </c>
      <c r="I240" t="s">
        <v>19</v>
      </c>
      <c r="J240" t="s">
        <v>97</v>
      </c>
      <c r="K240" s="21" t="str">
        <f>IF(X240&lt;=0.9,HYPERLINK("http://www.lxhausys.co.kr/popup/rn/download/downloadPopup.jsp?from=plwindow&amp;uu=/upload/window/REPORT/LGH-TW16-005.pdf","1등급"),IF(X240&lt;=1.2,HYPERLINK("http://www.lxhausys.co.kr/popup/rn/download/downloadPopup.jsp?from=plwindow&amp;uu=/upload/window/REPORT/LGH-TW16-005.pdf","2등급"),IF(X240&lt;=1.8,HYPERLINK("http://www.lxhausys.co.kr/popup/rn/download/downloadPopup.jsp?from=plwindow&amp;uu=/upload/window/REPORT/LGH-TW16-005.pdf","3등급"),IF(X240&lt;=2.3,HYPERLINK("http://www.lxhausys.co.kr/popup/rn/download/downloadPopup.jsp?from=plwindow&amp;uu=/upload/window/REPORT/LGH-TW16-005.pdf","4등급"),IF(X240&lt;=2.8,HYPERLINK("http://www.lxhausys.co.kr/popup/rn/download/downloadPopup.jsp?from=plwindow&amp;uu=/upload/window/REPORT/LGH-TW16-005.pdf","5등급"),HYPERLINK("http://www.lxhausys.co.kr/popup/rn/download/downloadPopup.jsp?from=plwindow&amp;uu=/upload/window/REPORT/LGH-TW16-005.pdf","등급외"))))))</f>
        <v>1등급</v>
      </c>
      <c r="L240" s="5">
        <v>0.83860000000000001</v>
      </c>
      <c r="M240" s="5" t="s">
        <v>22</v>
      </c>
      <c r="N240" s="5" t="s">
        <v>607</v>
      </c>
      <c r="O240" s="5" t="s">
        <v>19</v>
      </c>
      <c r="P240" s="5" t="s">
        <v>19</v>
      </c>
      <c r="Q240" s="5" t="s">
        <v>19</v>
      </c>
      <c r="R240" s="5" t="s">
        <v>19</v>
      </c>
      <c r="S240" s="5" t="s">
        <v>19</v>
      </c>
      <c r="T240" s="5" t="s">
        <v>19</v>
      </c>
      <c r="U240" s="5" t="s">
        <v>19</v>
      </c>
      <c r="V240" s="5" t="s">
        <v>19</v>
      </c>
      <c r="W240" s="5" t="s">
        <v>19</v>
      </c>
      <c r="X240" s="19">
        <f t="shared" si="1"/>
        <v>0.83860000000000001</v>
      </c>
    </row>
    <row r="241" spans="1:24">
      <c r="A241" t="s">
        <v>130</v>
      </c>
      <c r="B241" t="s">
        <v>19</v>
      </c>
      <c r="C241" t="s">
        <v>20</v>
      </c>
      <c r="D241" t="s">
        <v>53</v>
      </c>
      <c r="E241" t="s">
        <v>19</v>
      </c>
      <c r="F241" t="s">
        <v>19</v>
      </c>
      <c r="G241" t="s">
        <v>19</v>
      </c>
      <c r="H241" t="s">
        <v>19</v>
      </c>
      <c r="I241" t="s">
        <v>19</v>
      </c>
      <c r="J241" t="s">
        <v>97</v>
      </c>
      <c r="K241" s="21" t="str">
        <f>IF(X241&lt;=0.9,HYPERLINK("http://www.lxhausys.co.kr/popup/rn/download/downloadPopup.jsp?from=plwindow&amp;uu=/upload/window/REPORT/LGH-TW16-006.pdf","1등급"),IF(X241&lt;=1.2,HYPERLINK("http://www.lxhausys.co.kr/popup/rn/download/downloadPopup.jsp?from=plwindow&amp;uu=/upload/window/REPORT/LGH-TW16-006.pdf","2등급"),IF(X241&lt;=1.8,HYPERLINK("http://www.lxhausys.co.kr/popup/rn/download/downloadPopup.jsp?from=plwindow&amp;uu=/upload/window/REPORT/LGH-TW16-006.pdf","3등급"),IF(X241&lt;=2.3,HYPERLINK("http://www.lxhausys.co.kr/popup/rn/download/downloadPopup.jsp?from=plwindow&amp;uu=/upload/window/REPORT/LGH-TW16-006.pdf","4등급"),IF(X241&lt;=2.8,HYPERLINK("http://www.lxhausys.co.kr/popup/rn/download/downloadPopup.jsp?from=plwindow&amp;uu=/upload/window/REPORT/LGH-TW16-006.pdf","5등급"),HYPERLINK("http://www.lxhausys.co.kr/popup/rn/download/downloadPopup.jsp?from=plwindow&amp;uu=/upload/window/REPORT/LGH-TW16-006.pdf","등급외"))))))</f>
        <v>3등급</v>
      </c>
      <c r="L241" s="5">
        <v>1.6012999999999999</v>
      </c>
      <c r="M241" s="5" t="s">
        <v>103</v>
      </c>
      <c r="N241" s="5" t="s">
        <v>607</v>
      </c>
      <c r="O241" s="5" t="s">
        <v>19</v>
      </c>
      <c r="P241" s="5" t="s">
        <v>19</v>
      </c>
      <c r="Q241" s="5" t="s">
        <v>19</v>
      </c>
      <c r="R241" s="5" t="s">
        <v>19</v>
      </c>
      <c r="S241" s="5" t="s">
        <v>19</v>
      </c>
      <c r="T241" s="5" t="s">
        <v>19</v>
      </c>
      <c r="U241" s="5" t="s">
        <v>19</v>
      </c>
      <c r="V241" s="5" t="s">
        <v>19</v>
      </c>
      <c r="W241" s="5" t="s">
        <v>19</v>
      </c>
      <c r="X241" s="19">
        <f t="shared" si="1"/>
        <v>1.6012999999999999</v>
      </c>
    </row>
    <row r="242" spans="1:24">
      <c r="A242" t="s">
        <v>52</v>
      </c>
      <c r="B242" t="s">
        <v>19</v>
      </c>
      <c r="C242" t="s">
        <v>20</v>
      </c>
      <c r="D242" t="s">
        <v>102</v>
      </c>
      <c r="E242" t="s">
        <v>19</v>
      </c>
      <c r="F242" t="s">
        <v>19</v>
      </c>
      <c r="G242" t="s">
        <v>19</v>
      </c>
      <c r="H242" t="s">
        <v>102</v>
      </c>
      <c r="I242" t="s">
        <v>19</v>
      </c>
      <c r="J242" t="s">
        <v>97</v>
      </c>
      <c r="K242" s="21" t="str">
        <f>IF(X242&lt;=0.9,HYPERLINK("http://www.lxhausys.co.kr/popup/rn/download/downloadPopup.jsp?from=plwindow&amp;uu=/upload/window/REPORT/LGH-TW16-011.pdf","1등급"),IF(X242&lt;=1.2,HYPERLINK("http://www.lxhausys.co.kr/popup/rn/download/downloadPopup.jsp?from=plwindow&amp;uu=/upload/window/REPORT/LGH-TW16-011.pdf","2등급"),IF(X242&lt;=1.8,HYPERLINK("http://www.lxhausys.co.kr/popup/rn/download/downloadPopup.jsp?from=plwindow&amp;uu=/upload/window/REPORT/LGH-TW16-011.pdf","3등급"),IF(X242&lt;=2.3,HYPERLINK("http://www.lxhausys.co.kr/popup/rn/download/downloadPopup.jsp?from=plwindow&amp;uu=/upload/window/REPORT/LGH-TW16-011.pdf","4등급"),IF(X242&lt;=2.8,HYPERLINK("http://www.lxhausys.co.kr/popup/rn/download/downloadPopup.jsp?from=plwindow&amp;uu=/upload/window/REPORT/LGH-TW16-011.pdf","5등급"),HYPERLINK("http://www.lxhausys.co.kr/popup/rn/download/downloadPopup.jsp?from=plwindow&amp;uu=/upload/window/REPORT/LGH-TW16-011.pdf","등급외"))))))</f>
        <v>1등급</v>
      </c>
      <c r="L242" s="5">
        <v>0.79099999999999993</v>
      </c>
      <c r="M242" s="5" t="s">
        <v>22</v>
      </c>
      <c r="N242" s="5" t="s">
        <v>607</v>
      </c>
      <c r="O242" s="5" t="s">
        <v>19</v>
      </c>
      <c r="P242" s="5" t="s">
        <v>19</v>
      </c>
      <c r="Q242" s="5" t="s">
        <v>19</v>
      </c>
      <c r="R242" s="5" t="s">
        <v>19</v>
      </c>
      <c r="S242" s="5" t="s">
        <v>19</v>
      </c>
      <c r="T242" s="5" t="s">
        <v>19</v>
      </c>
      <c r="U242" s="5" t="s">
        <v>19</v>
      </c>
      <c r="V242" s="5" t="s">
        <v>19</v>
      </c>
      <c r="W242" s="5" t="s">
        <v>19</v>
      </c>
      <c r="X242" s="19">
        <f t="shared" si="1"/>
        <v>0.79099999999999993</v>
      </c>
    </row>
    <row r="243" spans="1:24">
      <c r="A243" t="s">
        <v>441</v>
      </c>
      <c r="B243" t="s">
        <v>19</v>
      </c>
      <c r="C243" t="s">
        <v>20</v>
      </c>
      <c r="D243" t="s">
        <v>131</v>
      </c>
      <c r="E243" t="s">
        <v>19</v>
      </c>
      <c r="F243" t="s">
        <v>19</v>
      </c>
      <c r="G243" t="s">
        <v>19</v>
      </c>
      <c r="H243" t="s">
        <v>19</v>
      </c>
      <c r="I243" t="s">
        <v>19</v>
      </c>
      <c r="J243" t="s">
        <v>97</v>
      </c>
      <c r="K243" s="21" t="str">
        <f>IF(X243&lt;=0.9,HYPERLINK("http://www.lxhausys.co.kr/popup/rn/download/downloadPopup.jsp?from=plwindow&amp;uu=/upload/window/REPORT/LGH-TW16-014.pdf","1등급"),IF(X243&lt;=1.2,HYPERLINK("http://www.lxhausys.co.kr/popup/rn/download/downloadPopup.jsp?from=plwindow&amp;uu=/upload/window/REPORT/LGH-TW16-014.pdf","2등급"),IF(X243&lt;=1.8,HYPERLINK("http://www.lxhausys.co.kr/popup/rn/download/downloadPopup.jsp?from=plwindow&amp;uu=/upload/window/REPORT/LGH-TW16-014.pdf","3등급"),IF(X243&lt;=2.3,HYPERLINK("http://www.lxhausys.co.kr/popup/rn/download/downloadPopup.jsp?from=plwindow&amp;uu=/upload/window/REPORT/LGH-TW16-014.pdf","4등급"),IF(X243&lt;=2.8,HYPERLINK("http://www.lxhausys.co.kr/popup/rn/download/downloadPopup.jsp?from=plwindow&amp;uu=/upload/window/REPORT/LGH-TW16-014.pdf","5등급"),HYPERLINK("http://www.lxhausys.co.kr/popup/rn/download/downloadPopup.jsp?from=plwindow&amp;uu=/upload/window/REPORT/LGH-TW16-014.pdf","등급외"))))))</f>
        <v>3등급</v>
      </c>
      <c r="L243" s="5">
        <v>1.2737000000000001</v>
      </c>
      <c r="M243" s="5" t="s">
        <v>22</v>
      </c>
      <c r="N243" s="5" t="s">
        <v>607</v>
      </c>
      <c r="O243" s="5" t="s">
        <v>19</v>
      </c>
      <c r="P243" s="5" t="s">
        <v>19</v>
      </c>
      <c r="Q243" s="5" t="s">
        <v>19</v>
      </c>
      <c r="R243" s="5" t="s">
        <v>19</v>
      </c>
      <c r="S243" s="5" t="s">
        <v>19</v>
      </c>
      <c r="T243" s="5" t="s">
        <v>19</v>
      </c>
      <c r="U243" s="5" t="s">
        <v>19</v>
      </c>
      <c r="V243" s="5" t="s">
        <v>19</v>
      </c>
      <c r="W243" s="5" t="s">
        <v>19</v>
      </c>
      <c r="X243" s="19">
        <f t="shared" si="1"/>
        <v>1.2737000000000001</v>
      </c>
    </row>
    <row r="244" spans="1:24">
      <c r="A244" t="s">
        <v>36</v>
      </c>
      <c r="B244" t="s">
        <v>19</v>
      </c>
      <c r="C244" t="s">
        <v>20</v>
      </c>
      <c r="D244" t="s">
        <v>51</v>
      </c>
      <c r="E244" t="s">
        <v>132</v>
      </c>
      <c r="F244" t="s">
        <v>19</v>
      </c>
      <c r="G244" t="s">
        <v>19</v>
      </c>
      <c r="H244" t="s">
        <v>19</v>
      </c>
      <c r="I244" t="s">
        <v>19</v>
      </c>
      <c r="J244" t="s">
        <v>99</v>
      </c>
      <c r="K244" s="21" t="str">
        <f>IF(X244&lt;=0.9,HYPERLINK("http://www.lxhausys.co.kr/popup/rn/download/downloadPopup.jsp?from=plwindow&amp;uu=/upload/window/REPORT/LGH-TW16-019.pdf","1등급"),IF(X244&lt;=1.2,HYPERLINK("http://www.lxhausys.co.kr/popup/rn/download/downloadPopup.jsp?from=plwindow&amp;uu=/upload/window/REPORT/LGH-TW16-019.pdf","2등급"),IF(X244&lt;=1.8,HYPERLINK("http://www.lxhausys.co.kr/popup/rn/download/downloadPopup.jsp?from=plwindow&amp;uu=/upload/window/REPORT/LGH-TW16-019.pdf","3등급"),IF(X244&lt;=2.3,HYPERLINK("http://www.lxhausys.co.kr/popup/rn/download/downloadPopup.jsp?from=plwindow&amp;uu=/upload/window/REPORT/LGH-TW16-019.pdf","4등급"),IF(X244&lt;=2.8,HYPERLINK("http://www.lxhausys.co.kr/popup/rn/download/downloadPopup.jsp?from=plwindow&amp;uu=/upload/window/REPORT/LGH-TW16-019.pdf","5등급"),HYPERLINK("http://www.lxhausys.co.kr/popup/rn/download/downloadPopup.jsp?from=plwindow&amp;uu=/upload/window/REPORT/LGH-TW16-019.pdf","등급외"))))))</f>
        <v>3등급</v>
      </c>
      <c r="L244" s="5">
        <v>1.3317000000000001</v>
      </c>
      <c r="M244" s="5" t="s">
        <v>22</v>
      </c>
      <c r="N244" s="5" t="s">
        <v>607</v>
      </c>
      <c r="O244" s="5" t="s">
        <v>19</v>
      </c>
      <c r="P244" s="5" t="s">
        <v>19</v>
      </c>
      <c r="Q244" s="5" t="s">
        <v>19</v>
      </c>
      <c r="R244" s="5" t="s">
        <v>19</v>
      </c>
      <c r="S244" s="5" t="s">
        <v>19</v>
      </c>
      <c r="T244" s="5" t="s">
        <v>19</v>
      </c>
      <c r="U244" s="5" t="s">
        <v>19</v>
      </c>
      <c r="V244" s="5" t="s">
        <v>19</v>
      </c>
      <c r="W244" s="5" t="s">
        <v>19</v>
      </c>
      <c r="X244" s="19">
        <f t="shared" si="1"/>
        <v>1.3317000000000001</v>
      </c>
    </row>
    <row r="245" spans="1:24">
      <c r="A245" t="s">
        <v>125</v>
      </c>
      <c r="B245" t="s">
        <v>19</v>
      </c>
      <c r="C245" t="s">
        <v>20</v>
      </c>
      <c r="D245" t="s">
        <v>102</v>
      </c>
      <c r="E245" t="s">
        <v>19</v>
      </c>
      <c r="F245" t="s">
        <v>19</v>
      </c>
      <c r="G245" t="s">
        <v>19</v>
      </c>
      <c r="H245" t="s">
        <v>19</v>
      </c>
      <c r="I245" t="s">
        <v>19</v>
      </c>
      <c r="J245" t="s">
        <v>97</v>
      </c>
      <c r="K245" s="21" t="str">
        <f>IF(X245&lt;=0.9,HYPERLINK("http://www.lxhausys.co.kr/popup/rn/download/downloadPopup.jsp?from=plwindow&amp;uu=/upload/window/REPORT/LGH-TW16-021.pdf","1등급"),IF(X245&lt;=1.2,HYPERLINK("http://www.lxhausys.co.kr/popup/rn/download/downloadPopup.jsp?from=plwindow&amp;uu=/upload/window/REPORT/LGH-TW16-021.pdf","2등급"),IF(X245&lt;=1.8,HYPERLINK("http://www.lxhausys.co.kr/popup/rn/download/downloadPopup.jsp?from=plwindow&amp;uu=/upload/window/REPORT/LGH-TW16-021.pdf","3등급"),IF(X245&lt;=2.3,HYPERLINK("http://www.lxhausys.co.kr/popup/rn/download/downloadPopup.jsp?from=plwindow&amp;uu=/upload/window/REPORT/LGH-TW16-021.pdf","4등급"),IF(X245&lt;=2.8,HYPERLINK("http://www.lxhausys.co.kr/popup/rn/download/downloadPopup.jsp?from=plwindow&amp;uu=/upload/window/REPORT/LGH-TW16-021.pdf","5등급"),HYPERLINK("http://www.lxhausys.co.kr/popup/rn/download/downloadPopup.jsp?from=plwindow&amp;uu=/upload/window/REPORT/LGH-TW16-021.pdf","등급외"))))))</f>
        <v>4등급</v>
      </c>
      <c r="L245" s="5">
        <v>1.8231999999999999</v>
      </c>
      <c r="M245" s="5" t="s">
        <v>103</v>
      </c>
      <c r="N245" s="5" t="s">
        <v>607</v>
      </c>
      <c r="O245" s="5" t="s">
        <v>19</v>
      </c>
      <c r="P245" s="5" t="s">
        <v>19</v>
      </c>
      <c r="Q245" s="5" t="s">
        <v>19</v>
      </c>
      <c r="R245" s="5" t="s">
        <v>19</v>
      </c>
      <c r="S245" s="5" t="s">
        <v>19</v>
      </c>
      <c r="T245" s="5" t="s">
        <v>19</v>
      </c>
      <c r="U245" s="5" t="s">
        <v>19</v>
      </c>
      <c r="V245" s="5" t="s">
        <v>19</v>
      </c>
      <c r="W245" s="5" t="s">
        <v>19</v>
      </c>
      <c r="X245" s="19">
        <f t="shared" si="1"/>
        <v>1.8231999999999999</v>
      </c>
    </row>
    <row r="246" spans="1:24">
      <c r="A246" t="s">
        <v>100</v>
      </c>
      <c r="B246" t="s">
        <v>19</v>
      </c>
      <c r="C246" t="s">
        <v>20</v>
      </c>
      <c r="D246" t="s">
        <v>25</v>
      </c>
      <c r="E246" t="s">
        <v>19</v>
      </c>
      <c r="F246" t="s">
        <v>19</v>
      </c>
      <c r="G246" t="s">
        <v>19</v>
      </c>
      <c r="H246" t="s">
        <v>25</v>
      </c>
      <c r="I246" t="s">
        <v>19</v>
      </c>
      <c r="J246" t="s">
        <v>74</v>
      </c>
      <c r="K246" s="21" t="str">
        <f>IF(X246&lt;=0.9,HYPERLINK("http://www.lxhausys.co.kr/popup/rn/download/downloadPopup.jsp?from=plwindow&amp;uu=/upload/window/REPORT/LGH-TW16-022.pdf","1등급"),IF(X246&lt;=1.2,HYPERLINK("http://www.lxhausys.co.kr/popup/rn/download/downloadPopup.jsp?from=plwindow&amp;uu=/upload/window/REPORT/LGH-TW16-022.pdf","2등급"),IF(X246&lt;=1.8,HYPERLINK("http://www.lxhausys.co.kr/popup/rn/download/downloadPopup.jsp?from=plwindow&amp;uu=/upload/window/REPORT/LGH-TW16-022.pdf","3등급"),IF(X246&lt;=2.3,HYPERLINK("http://www.lxhausys.co.kr/popup/rn/download/downloadPopup.jsp?from=plwindow&amp;uu=/upload/window/REPORT/LGH-TW16-022.pdf","4등급"),IF(X246&lt;=2.8,HYPERLINK("http://www.lxhausys.co.kr/popup/rn/download/downloadPopup.jsp?from=plwindow&amp;uu=/upload/window/REPORT/LGH-TW16-022.pdf","5등급"),HYPERLINK("http://www.lxhausys.co.kr/popup/rn/download/downloadPopup.jsp?from=plwindow&amp;uu=/upload/window/REPORT/LGH-TW16-022.pdf","등급외"))))))</f>
        <v>3등급</v>
      </c>
      <c r="L246" s="5">
        <v>1.2266999999999999</v>
      </c>
      <c r="M246" s="5" t="s">
        <v>22</v>
      </c>
      <c r="N246" s="5" t="s">
        <v>607</v>
      </c>
      <c r="O246" s="5" t="s">
        <v>19</v>
      </c>
      <c r="P246" s="5" t="s">
        <v>19</v>
      </c>
      <c r="Q246" s="5" t="s">
        <v>19</v>
      </c>
      <c r="R246" s="5" t="s">
        <v>19</v>
      </c>
      <c r="S246" s="5" t="s">
        <v>19</v>
      </c>
      <c r="T246" s="5" t="s">
        <v>19</v>
      </c>
      <c r="U246" s="5" t="s">
        <v>19</v>
      </c>
      <c r="V246" s="5" t="s">
        <v>19</v>
      </c>
      <c r="W246" s="5" t="s">
        <v>19</v>
      </c>
      <c r="X246" s="19">
        <f t="shared" si="1"/>
        <v>1.2266999999999999</v>
      </c>
    </row>
    <row r="247" spans="1:24">
      <c r="A247" t="s">
        <v>100</v>
      </c>
      <c r="B247" t="s">
        <v>19</v>
      </c>
      <c r="C247" t="s">
        <v>20</v>
      </c>
      <c r="D247" t="s">
        <v>68</v>
      </c>
      <c r="E247" t="s">
        <v>19</v>
      </c>
      <c r="F247" t="s">
        <v>19</v>
      </c>
      <c r="G247" t="s">
        <v>19</v>
      </c>
      <c r="H247" t="s">
        <v>102</v>
      </c>
      <c r="I247" t="s">
        <v>19</v>
      </c>
      <c r="J247" t="s">
        <v>97</v>
      </c>
      <c r="K247" s="21" t="str">
        <f>IF(X247&lt;=0.9,HYPERLINK("http://www.lxhausys.co.kr/popup/rn/download/downloadPopup.jsp?from=plwindow&amp;uu=/upload/window/REPORT/LGH-TW16-023.pdf","1등급"),IF(X247&lt;=1.2,HYPERLINK("http://www.lxhausys.co.kr/popup/rn/download/downloadPopup.jsp?from=plwindow&amp;uu=/upload/window/REPORT/LGH-TW16-023.pdf","2등급"),IF(X247&lt;=1.8,HYPERLINK("http://www.lxhausys.co.kr/popup/rn/download/downloadPopup.jsp?from=plwindow&amp;uu=/upload/window/REPORT/LGH-TW16-023.pdf","3등급"),IF(X247&lt;=2.3,HYPERLINK("http://www.lxhausys.co.kr/popup/rn/download/downloadPopup.jsp?from=plwindow&amp;uu=/upload/window/REPORT/LGH-TW16-023.pdf","4등급"),IF(X247&lt;=2.8,HYPERLINK("http://www.lxhausys.co.kr/popup/rn/download/downloadPopup.jsp?from=plwindow&amp;uu=/upload/window/REPORT/LGH-TW16-023.pdf","5등급"),HYPERLINK("http://www.lxhausys.co.kr/popup/rn/download/downloadPopup.jsp?from=plwindow&amp;uu=/upload/window/REPORT/LGH-TW16-023.pdf","등급외"))))))</f>
        <v>2등급</v>
      </c>
      <c r="L247" s="5">
        <v>0.90569999999999995</v>
      </c>
      <c r="M247" s="5" t="s">
        <v>22</v>
      </c>
      <c r="N247" s="5" t="s">
        <v>607</v>
      </c>
      <c r="O247" s="5" t="s">
        <v>19</v>
      </c>
      <c r="P247" s="5" t="s">
        <v>19</v>
      </c>
      <c r="Q247" s="5" t="s">
        <v>19</v>
      </c>
      <c r="R247" s="5" t="s">
        <v>19</v>
      </c>
      <c r="S247" s="5" t="s">
        <v>19</v>
      </c>
      <c r="T247" s="5" t="s">
        <v>19</v>
      </c>
      <c r="U247" s="5" t="s">
        <v>19</v>
      </c>
      <c r="V247" s="5" t="s">
        <v>19</v>
      </c>
      <c r="W247" s="5" t="s">
        <v>19</v>
      </c>
      <c r="X247" s="19">
        <f t="shared" si="1"/>
        <v>0.90569999999999995</v>
      </c>
    </row>
    <row r="248" spans="1:24">
      <c r="A248" t="s">
        <v>100</v>
      </c>
      <c r="B248" t="s">
        <v>19</v>
      </c>
      <c r="C248" t="s">
        <v>20</v>
      </c>
      <c r="D248" t="s">
        <v>41</v>
      </c>
      <c r="E248" t="s">
        <v>19</v>
      </c>
      <c r="F248" t="s">
        <v>19</v>
      </c>
      <c r="G248" t="s">
        <v>19</v>
      </c>
      <c r="H248" t="s">
        <v>41</v>
      </c>
      <c r="I248" t="s">
        <v>19</v>
      </c>
      <c r="J248" t="s">
        <v>74</v>
      </c>
      <c r="K248" s="21" t="str">
        <f>IF(X248&lt;=0.9,HYPERLINK("http://www.lxhausys.co.kr/popup/rn/download/downloadPopup.jsp?from=plwindow&amp;uu=/upload/window/REPORT/LGH-TW16-024.pdf","1등급"),IF(X248&lt;=1.2,HYPERLINK("http://www.lxhausys.co.kr/popup/rn/download/downloadPopup.jsp?from=plwindow&amp;uu=/upload/window/REPORT/LGH-TW16-024.pdf","2등급"),IF(X248&lt;=1.8,HYPERLINK("http://www.lxhausys.co.kr/popup/rn/download/downloadPopup.jsp?from=plwindow&amp;uu=/upload/window/REPORT/LGH-TW16-024.pdf","3등급"),IF(X248&lt;=2.3,HYPERLINK("http://www.lxhausys.co.kr/popup/rn/download/downloadPopup.jsp?from=plwindow&amp;uu=/upload/window/REPORT/LGH-TW16-024.pdf","4등급"),IF(X248&lt;=2.8,HYPERLINK("http://www.lxhausys.co.kr/popup/rn/download/downloadPopup.jsp?from=plwindow&amp;uu=/upload/window/REPORT/LGH-TW16-024.pdf","5등급"),HYPERLINK("http://www.lxhausys.co.kr/popup/rn/download/downloadPopup.jsp?from=plwindow&amp;uu=/upload/window/REPORT/LGH-TW16-024.pdf","등급외"))))))</f>
        <v>3등급</v>
      </c>
      <c r="L248" s="5">
        <v>1.3604000000000001</v>
      </c>
      <c r="M248" s="5" t="s">
        <v>22</v>
      </c>
      <c r="N248" s="5" t="s">
        <v>607</v>
      </c>
      <c r="O248" s="5" t="s">
        <v>19</v>
      </c>
      <c r="P248" s="5" t="s">
        <v>19</v>
      </c>
      <c r="Q248" s="5" t="s">
        <v>19</v>
      </c>
      <c r="R248" s="5" t="s">
        <v>19</v>
      </c>
      <c r="S248" s="5" t="s">
        <v>19</v>
      </c>
      <c r="T248" s="5" t="s">
        <v>19</v>
      </c>
      <c r="U248" s="5" t="s">
        <v>19</v>
      </c>
      <c r="V248" s="5" t="s">
        <v>19</v>
      </c>
      <c r="W248" s="5" t="s">
        <v>19</v>
      </c>
      <c r="X248" s="19">
        <f t="shared" si="1"/>
        <v>1.3604000000000001</v>
      </c>
    </row>
    <row r="249" spans="1:24">
      <c r="A249" t="s">
        <v>100</v>
      </c>
      <c r="B249" t="s">
        <v>19</v>
      </c>
      <c r="C249" t="s">
        <v>20</v>
      </c>
      <c r="D249" t="s">
        <v>25</v>
      </c>
      <c r="E249" t="s">
        <v>19</v>
      </c>
      <c r="F249" t="s">
        <v>19</v>
      </c>
      <c r="G249" t="s">
        <v>19</v>
      </c>
      <c r="H249" t="s">
        <v>64</v>
      </c>
      <c r="I249" t="s">
        <v>19</v>
      </c>
      <c r="J249" t="s">
        <v>97</v>
      </c>
      <c r="K249" s="21" t="str">
        <f>IF(X249&lt;=0.9,HYPERLINK("http://www.lxhausys.co.kr/popup/rn/download/downloadPopup.jsp?from=plwindow&amp;uu=/upload/window/REPORT/LGH-TW16-025.pdf","1등급"),IF(X249&lt;=1.2,HYPERLINK("http://www.lxhausys.co.kr/popup/rn/download/downloadPopup.jsp?from=plwindow&amp;uu=/upload/window/REPORT/LGH-TW16-025.pdf","2등급"),IF(X249&lt;=1.8,HYPERLINK("http://www.lxhausys.co.kr/popup/rn/download/downloadPopup.jsp?from=plwindow&amp;uu=/upload/window/REPORT/LGH-TW16-025.pdf","3등급"),IF(X249&lt;=2.3,HYPERLINK("http://www.lxhausys.co.kr/popup/rn/download/downloadPopup.jsp?from=plwindow&amp;uu=/upload/window/REPORT/LGH-TW16-025.pdf","4등급"),IF(X249&lt;=2.8,HYPERLINK("http://www.lxhausys.co.kr/popup/rn/download/downloadPopup.jsp?from=plwindow&amp;uu=/upload/window/REPORT/LGH-TW16-025.pdf","5등급"),HYPERLINK("http://www.lxhausys.co.kr/popup/rn/download/downloadPopup.jsp?from=plwindow&amp;uu=/upload/window/REPORT/LGH-TW16-025.pdf","등급외"))))))</f>
        <v>2등급</v>
      </c>
      <c r="L249" s="5">
        <v>0.93599999999999994</v>
      </c>
      <c r="M249" s="5" t="s">
        <v>22</v>
      </c>
      <c r="N249" s="5" t="s">
        <v>607</v>
      </c>
      <c r="O249" s="5" t="s">
        <v>19</v>
      </c>
      <c r="P249" s="5" t="s">
        <v>19</v>
      </c>
      <c r="Q249" s="5" t="s">
        <v>19</v>
      </c>
      <c r="R249" s="5" t="s">
        <v>19</v>
      </c>
      <c r="S249" s="5" t="s">
        <v>19</v>
      </c>
      <c r="T249" s="5" t="s">
        <v>19</v>
      </c>
      <c r="U249" s="5" t="s">
        <v>19</v>
      </c>
      <c r="V249" s="5" t="s">
        <v>19</v>
      </c>
      <c r="W249" s="5" t="s">
        <v>19</v>
      </c>
      <c r="X249" s="19">
        <f t="shared" si="1"/>
        <v>0.93599999999999994</v>
      </c>
    </row>
    <row r="250" spans="1:24">
      <c r="A250" t="s">
        <v>130</v>
      </c>
      <c r="B250" t="s">
        <v>19</v>
      </c>
      <c r="C250" t="s">
        <v>20</v>
      </c>
      <c r="D250" t="s">
        <v>41</v>
      </c>
      <c r="E250" t="s">
        <v>19</v>
      </c>
      <c r="F250" t="s">
        <v>19</v>
      </c>
      <c r="G250" t="s">
        <v>19</v>
      </c>
      <c r="H250" t="s">
        <v>19</v>
      </c>
      <c r="I250" t="s">
        <v>19</v>
      </c>
      <c r="J250" t="s">
        <v>74</v>
      </c>
      <c r="K250" s="21" t="str">
        <f>IF(X250&lt;=0.9,HYPERLINK("http://www.lxhausys.co.kr/popup/rn/download/downloadPopup.jsp?from=plwindow&amp;uu=/upload/window/REPORT/LGH-TW16-026.pdf","1등급"),IF(X250&lt;=1.2,HYPERLINK("http://www.lxhausys.co.kr/popup/rn/download/downloadPopup.jsp?from=plwindow&amp;uu=/upload/window/REPORT/LGH-TW16-026.pdf","2등급"),IF(X250&lt;=1.8,HYPERLINK("http://www.lxhausys.co.kr/popup/rn/download/downloadPopup.jsp?from=plwindow&amp;uu=/upload/window/REPORT/LGH-TW16-026.pdf","3등급"),IF(X250&lt;=2.3,HYPERLINK("http://www.lxhausys.co.kr/popup/rn/download/downloadPopup.jsp?from=plwindow&amp;uu=/upload/window/REPORT/LGH-TW16-026.pdf","4등급"),IF(X250&lt;=2.8,HYPERLINK("http://www.lxhausys.co.kr/popup/rn/download/downloadPopup.jsp?from=plwindow&amp;uu=/upload/window/REPORT/LGH-TW16-026.pdf","5등급"),HYPERLINK("http://www.lxhausys.co.kr/popup/rn/download/downloadPopup.jsp?from=plwindow&amp;uu=/upload/window/REPORT/LGH-TW16-026.pdf","등급외"))))))</f>
        <v>등급외</v>
      </c>
      <c r="L250" s="5">
        <v>2.9028</v>
      </c>
      <c r="M250" s="5" t="s">
        <v>103</v>
      </c>
      <c r="N250" s="5" t="s">
        <v>607</v>
      </c>
      <c r="O250" s="5" t="s">
        <v>19</v>
      </c>
      <c r="P250" s="5" t="s">
        <v>19</v>
      </c>
      <c r="Q250" s="5" t="s">
        <v>19</v>
      </c>
      <c r="R250" s="5" t="s">
        <v>19</v>
      </c>
      <c r="S250" s="5" t="s">
        <v>19</v>
      </c>
      <c r="T250" s="5" t="s">
        <v>19</v>
      </c>
      <c r="U250" s="5" t="s">
        <v>19</v>
      </c>
      <c r="V250" s="5" t="s">
        <v>19</v>
      </c>
      <c r="W250" s="5" t="s">
        <v>19</v>
      </c>
      <c r="X250" s="19">
        <f t="shared" si="1"/>
        <v>2.9028</v>
      </c>
    </row>
    <row r="251" spans="1:24">
      <c r="A251" t="s">
        <v>130</v>
      </c>
      <c r="B251" t="s">
        <v>19</v>
      </c>
      <c r="C251" t="s">
        <v>20</v>
      </c>
      <c r="D251" t="s">
        <v>64</v>
      </c>
      <c r="E251" t="s">
        <v>19</v>
      </c>
      <c r="F251" t="s">
        <v>19</v>
      </c>
      <c r="G251" t="s">
        <v>19</v>
      </c>
      <c r="H251" t="s">
        <v>19</v>
      </c>
      <c r="I251" t="s">
        <v>19</v>
      </c>
      <c r="J251" t="s">
        <v>97</v>
      </c>
      <c r="K251" s="21" t="str">
        <f>IF(X251&lt;=0.9,HYPERLINK("http://www.lxhausys.co.kr/popup/rn/download/downloadPopup.jsp?from=plwindow&amp;uu=/upload/window/REPORT/LGH-TW16-028.pdf","1등급"),IF(X251&lt;=1.2,HYPERLINK("http://www.lxhausys.co.kr/popup/rn/download/downloadPopup.jsp?from=plwindow&amp;uu=/upload/window/REPORT/LGH-TW16-028.pdf","2등급"),IF(X251&lt;=1.8,HYPERLINK("http://www.lxhausys.co.kr/popup/rn/download/downloadPopup.jsp?from=plwindow&amp;uu=/upload/window/REPORT/LGH-TW16-028.pdf","3등급"),IF(X251&lt;=2.3,HYPERLINK("http://www.lxhausys.co.kr/popup/rn/download/downloadPopup.jsp?from=plwindow&amp;uu=/upload/window/REPORT/LGH-TW16-028.pdf","4등급"),IF(X251&lt;=2.8,HYPERLINK("http://www.lxhausys.co.kr/popup/rn/download/downloadPopup.jsp?from=plwindow&amp;uu=/upload/window/REPORT/LGH-TW16-028.pdf","5등급"),HYPERLINK("http://www.lxhausys.co.kr/popup/rn/download/downloadPopup.jsp?from=plwindow&amp;uu=/upload/window/REPORT/LGH-TW16-028.pdf","등급외"))))))</f>
        <v>4등급</v>
      </c>
      <c r="L251" s="5">
        <v>1.8018000000000001</v>
      </c>
      <c r="M251" s="5" t="s">
        <v>103</v>
      </c>
      <c r="N251" s="5" t="s">
        <v>607</v>
      </c>
      <c r="O251" s="5" t="s">
        <v>19</v>
      </c>
      <c r="P251" s="5" t="s">
        <v>19</v>
      </c>
      <c r="Q251" s="5" t="s">
        <v>19</v>
      </c>
      <c r="R251" s="5" t="s">
        <v>19</v>
      </c>
      <c r="S251" s="5" t="s">
        <v>19</v>
      </c>
      <c r="T251" s="5" t="s">
        <v>19</v>
      </c>
      <c r="U251" s="5" t="s">
        <v>19</v>
      </c>
      <c r="V251" s="5" t="s">
        <v>19</v>
      </c>
      <c r="W251" s="5" t="s">
        <v>19</v>
      </c>
      <c r="X251" s="19">
        <f t="shared" si="1"/>
        <v>1.8018000000000001</v>
      </c>
    </row>
    <row r="252" spans="1:24">
      <c r="A252" t="s">
        <v>130</v>
      </c>
      <c r="B252" t="s">
        <v>19</v>
      </c>
      <c r="C252" t="s">
        <v>20</v>
      </c>
      <c r="D252" t="s">
        <v>102</v>
      </c>
      <c r="E252" t="s">
        <v>19</v>
      </c>
      <c r="F252" t="s">
        <v>19</v>
      </c>
      <c r="G252" t="s">
        <v>19</v>
      </c>
      <c r="H252" t="s">
        <v>19</v>
      </c>
      <c r="I252" t="s">
        <v>19</v>
      </c>
      <c r="J252" t="s">
        <v>97</v>
      </c>
      <c r="K252" s="21" t="str">
        <f>IF(X252&lt;=0.9,HYPERLINK("http://www.lxhausys.co.kr/popup/rn/download/downloadPopup.jsp?from=plwindow&amp;uu=/upload/window/REPORT/LGH-TW16-029.pdf","1등급"),IF(X252&lt;=1.2,HYPERLINK("http://www.lxhausys.co.kr/popup/rn/download/downloadPopup.jsp?from=plwindow&amp;uu=/upload/window/REPORT/LGH-TW16-029.pdf","2등급"),IF(X252&lt;=1.8,HYPERLINK("http://www.lxhausys.co.kr/popup/rn/download/downloadPopup.jsp?from=plwindow&amp;uu=/upload/window/REPORT/LGH-TW16-029.pdf","3등급"),IF(X252&lt;=2.3,HYPERLINK("http://www.lxhausys.co.kr/popup/rn/download/downloadPopup.jsp?from=plwindow&amp;uu=/upload/window/REPORT/LGH-TW16-029.pdf","4등급"),IF(X252&lt;=2.8,HYPERLINK("http://www.lxhausys.co.kr/popup/rn/download/downloadPopup.jsp?from=plwindow&amp;uu=/upload/window/REPORT/LGH-TW16-029.pdf","5등급"),HYPERLINK("http://www.lxhausys.co.kr/popup/rn/download/downloadPopup.jsp?from=plwindow&amp;uu=/upload/window/REPORT/LGH-TW16-029.pdf","등급외"))))))</f>
        <v>3등급</v>
      </c>
      <c r="L252" s="5">
        <v>1.7461</v>
      </c>
      <c r="M252" s="5" t="s">
        <v>103</v>
      </c>
      <c r="N252" s="5" t="s">
        <v>607</v>
      </c>
      <c r="O252" s="5" t="s">
        <v>19</v>
      </c>
      <c r="P252" s="5" t="s">
        <v>19</v>
      </c>
      <c r="Q252" s="5" t="s">
        <v>19</v>
      </c>
      <c r="R252" s="5" t="s">
        <v>19</v>
      </c>
      <c r="S252" s="5" t="s">
        <v>19</v>
      </c>
      <c r="T252" s="5" t="s">
        <v>19</v>
      </c>
      <c r="U252" s="5" t="s">
        <v>19</v>
      </c>
      <c r="V252" s="5" t="s">
        <v>19</v>
      </c>
      <c r="W252" s="5" t="s">
        <v>19</v>
      </c>
      <c r="X252" s="19">
        <f t="shared" si="1"/>
        <v>1.7461</v>
      </c>
    </row>
    <row r="253" spans="1:24">
      <c r="A253" t="s">
        <v>62</v>
      </c>
      <c r="B253" t="s">
        <v>19</v>
      </c>
      <c r="C253" t="s">
        <v>20</v>
      </c>
      <c r="D253" t="s">
        <v>68</v>
      </c>
      <c r="E253" t="s">
        <v>19</v>
      </c>
      <c r="F253" t="s">
        <v>19</v>
      </c>
      <c r="G253" t="s">
        <v>19</v>
      </c>
      <c r="H253" t="s">
        <v>102</v>
      </c>
      <c r="I253" t="s">
        <v>19</v>
      </c>
      <c r="J253" t="s">
        <v>97</v>
      </c>
      <c r="K253" s="21" t="str">
        <f>IF(X253&lt;=0.9,HYPERLINK("http://www.lxhausys.co.kr/popup/rn/download/downloadPopup.jsp?from=plwindow&amp;uu=/upload/window/REPORT/LGH-TW16-030.pdf","1등급"),IF(X253&lt;=1.2,HYPERLINK("http://www.lxhausys.co.kr/popup/rn/download/downloadPopup.jsp?from=plwindow&amp;uu=/upload/window/REPORT/LGH-TW16-030.pdf","2등급"),IF(X253&lt;=1.8,HYPERLINK("http://www.lxhausys.co.kr/popup/rn/download/downloadPopup.jsp?from=plwindow&amp;uu=/upload/window/REPORT/LGH-TW16-030.pdf","3등급"),IF(X253&lt;=2.3,HYPERLINK("http://www.lxhausys.co.kr/popup/rn/download/downloadPopup.jsp?from=plwindow&amp;uu=/upload/window/REPORT/LGH-TW16-030.pdf","4등급"),IF(X253&lt;=2.8,HYPERLINK("http://www.lxhausys.co.kr/popup/rn/download/downloadPopup.jsp?from=plwindow&amp;uu=/upload/window/REPORT/LGH-TW16-030.pdf","5등급"),HYPERLINK("http://www.lxhausys.co.kr/popup/rn/download/downloadPopup.jsp?from=plwindow&amp;uu=/upload/window/REPORT/LGH-TW16-030.pdf","등급외"))))))</f>
        <v>2등급</v>
      </c>
      <c r="L253" s="5">
        <v>0.94540000000000002</v>
      </c>
      <c r="M253" s="5" t="s">
        <v>22</v>
      </c>
      <c r="N253" s="5" t="s">
        <v>607</v>
      </c>
      <c r="O253" s="5" t="s">
        <v>19</v>
      </c>
      <c r="P253" s="5" t="s">
        <v>19</v>
      </c>
      <c r="Q253" s="5" t="s">
        <v>19</v>
      </c>
      <c r="R253" s="5" t="s">
        <v>19</v>
      </c>
      <c r="S253" s="5" t="s">
        <v>19</v>
      </c>
      <c r="T253" s="5" t="s">
        <v>19</v>
      </c>
      <c r="U253" s="5" t="s">
        <v>19</v>
      </c>
      <c r="V253" s="5" t="s">
        <v>19</v>
      </c>
      <c r="W253" s="5" t="s">
        <v>19</v>
      </c>
      <c r="X253" s="19">
        <f t="shared" si="1"/>
        <v>0.94540000000000002</v>
      </c>
    </row>
    <row r="254" spans="1:24">
      <c r="A254" t="s">
        <v>52</v>
      </c>
      <c r="B254" t="s">
        <v>19</v>
      </c>
      <c r="C254" t="s">
        <v>20</v>
      </c>
      <c r="D254" t="s">
        <v>68</v>
      </c>
      <c r="E254" t="s">
        <v>19</v>
      </c>
      <c r="F254" t="s">
        <v>19</v>
      </c>
      <c r="G254" t="s">
        <v>19</v>
      </c>
      <c r="H254" t="s">
        <v>102</v>
      </c>
      <c r="I254" t="s">
        <v>19</v>
      </c>
      <c r="J254" t="s">
        <v>97</v>
      </c>
      <c r="K254" s="21" t="str">
        <f>IF(X254&lt;=0.9,HYPERLINK("http://www.lxhausys.co.kr/popup/rn/download/downloadPopup.jsp?from=plwindow&amp;uu=/upload/window/REPORT/LGH-TW16-031.pdf","1등급"),IF(X254&lt;=1.2,HYPERLINK("http://www.lxhausys.co.kr/popup/rn/download/downloadPopup.jsp?from=plwindow&amp;uu=/upload/window/REPORT/LGH-TW16-031.pdf","2등급"),IF(X254&lt;=1.8,HYPERLINK("http://www.lxhausys.co.kr/popup/rn/download/downloadPopup.jsp?from=plwindow&amp;uu=/upload/window/REPORT/LGH-TW16-031.pdf","3등급"),IF(X254&lt;=2.3,HYPERLINK("http://www.lxhausys.co.kr/popup/rn/download/downloadPopup.jsp?from=plwindow&amp;uu=/upload/window/REPORT/LGH-TW16-031.pdf","4등급"),IF(X254&lt;=2.8,HYPERLINK("http://www.lxhausys.co.kr/popup/rn/download/downloadPopup.jsp?from=plwindow&amp;uu=/upload/window/REPORT/LGH-TW16-031.pdf","5등급"),HYPERLINK("http://www.lxhausys.co.kr/popup/rn/download/downloadPopup.jsp?from=plwindow&amp;uu=/upload/window/REPORT/LGH-TW16-031.pdf","등급외"))))))</f>
        <v>2등급</v>
      </c>
      <c r="L254" s="5">
        <v>0.94230000000000003</v>
      </c>
      <c r="M254" s="5" t="s">
        <v>22</v>
      </c>
      <c r="N254" s="5" t="s">
        <v>607</v>
      </c>
      <c r="O254" s="5" t="s">
        <v>19</v>
      </c>
      <c r="P254" s="5" t="s">
        <v>19</v>
      </c>
      <c r="Q254" s="5" t="s">
        <v>19</v>
      </c>
      <c r="R254" s="5" t="s">
        <v>19</v>
      </c>
      <c r="S254" s="5" t="s">
        <v>19</v>
      </c>
      <c r="T254" s="5" t="s">
        <v>19</v>
      </c>
      <c r="U254" s="5" t="s">
        <v>19</v>
      </c>
      <c r="V254" s="5" t="s">
        <v>19</v>
      </c>
      <c r="W254" s="5" t="s">
        <v>19</v>
      </c>
      <c r="X254" s="19">
        <f t="shared" si="1"/>
        <v>0.94230000000000003</v>
      </c>
    </row>
    <row r="255" spans="1:24">
      <c r="A255" t="s">
        <v>59</v>
      </c>
      <c r="B255" t="s">
        <v>19</v>
      </c>
      <c r="C255" t="s">
        <v>20</v>
      </c>
      <c r="D255" t="s">
        <v>102</v>
      </c>
      <c r="E255" t="s">
        <v>19</v>
      </c>
      <c r="F255" t="s">
        <v>19</v>
      </c>
      <c r="G255" t="s">
        <v>19</v>
      </c>
      <c r="H255" t="s">
        <v>19</v>
      </c>
      <c r="I255" t="s">
        <v>19</v>
      </c>
      <c r="J255" t="s">
        <v>97</v>
      </c>
      <c r="K255" s="21" t="str">
        <f>IF(X255&lt;=0.9,HYPERLINK("http://www.lxhausys.co.kr/popup/rn/download/downloadPopup.jsp?from=plwindow&amp;uu=/upload/window/REPORT/LGH-TW16-032.pdf","1등급"),IF(X255&lt;=1.2,HYPERLINK("http://www.lxhausys.co.kr/popup/rn/download/downloadPopup.jsp?from=plwindow&amp;uu=/upload/window/REPORT/LGH-TW16-032.pdf","2등급"),IF(X255&lt;=1.8,HYPERLINK("http://www.lxhausys.co.kr/popup/rn/download/downloadPopup.jsp?from=plwindow&amp;uu=/upload/window/REPORT/LGH-TW16-032.pdf","3등급"),IF(X255&lt;=2.3,HYPERLINK("http://www.lxhausys.co.kr/popup/rn/download/downloadPopup.jsp?from=plwindow&amp;uu=/upload/window/REPORT/LGH-TW16-032.pdf","4등급"),IF(X255&lt;=2.8,HYPERLINK("http://www.lxhausys.co.kr/popup/rn/download/downloadPopup.jsp?from=plwindow&amp;uu=/upload/window/REPORT/LGH-TW16-032.pdf","5등급"),HYPERLINK("http://www.lxhausys.co.kr/popup/rn/download/downloadPopup.jsp?from=plwindow&amp;uu=/upload/window/REPORT/LGH-TW16-032.pdf","등급외"))))))</f>
        <v>4등급</v>
      </c>
      <c r="L255" s="5">
        <v>1.8702000000000001</v>
      </c>
      <c r="M255" s="5" t="s">
        <v>103</v>
      </c>
      <c r="N255" s="5" t="s">
        <v>607</v>
      </c>
      <c r="O255" s="5" t="s">
        <v>19</v>
      </c>
      <c r="P255" s="5" t="s">
        <v>19</v>
      </c>
      <c r="Q255" s="5" t="s">
        <v>19</v>
      </c>
      <c r="R255" s="5" t="s">
        <v>19</v>
      </c>
      <c r="S255" s="5" t="s">
        <v>19</v>
      </c>
      <c r="T255" s="5" t="s">
        <v>19</v>
      </c>
      <c r="U255" s="5" t="s">
        <v>19</v>
      </c>
      <c r="V255" s="5" t="s">
        <v>19</v>
      </c>
      <c r="W255" s="5" t="s">
        <v>19</v>
      </c>
      <c r="X255" s="19">
        <f t="shared" si="1"/>
        <v>1.8702000000000001</v>
      </c>
    </row>
    <row r="256" spans="1:24">
      <c r="A256" t="s">
        <v>61</v>
      </c>
      <c r="B256" t="s">
        <v>19</v>
      </c>
      <c r="C256" t="s">
        <v>20</v>
      </c>
      <c r="D256" t="s">
        <v>102</v>
      </c>
      <c r="E256" t="s">
        <v>19</v>
      </c>
      <c r="F256" t="s">
        <v>19</v>
      </c>
      <c r="G256" t="s">
        <v>19</v>
      </c>
      <c r="H256" t="s">
        <v>19</v>
      </c>
      <c r="I256" t="s">
        <v>19</v>
      </c>
      <c r="J256" t="s">
        <v>97</v>
      </c>
      <c r="K256" s="21" t="str">
        <f>IF(X256&lt;=0.9,HYPERLINK("http://www.lxhausys.co.kr/popup/rn/download/downloadPopup.jsp?from=plwindow&amp;uu=/upload/window/REPORT/LGH-TW16-033.pdf","1등급"),IF(X256&lt;=1.2,HYPERLINK("http://www.lxhausys.co.kr/popup/rn/download/downloadPopup.jsp?from=plwindow&amp;uu=/upload/window/REPORT/LGH-TW16-033.pdf","2등급"),IF(X256&lt;=1.8,HYPERLINK("http://www.lxhausys.co.kr/popup/rn/download/downloadPopup.jsp?from=plwindow&amp;uu=/upload/window/REPORT/LGH-TW16-033.pdf","3등급"),IF(X256&lt;=2.3,HYPERLINK("http://www.lxhausys.co.kr/popup/rn/download/downloadPopup.jsp?from=plwindow&amp;uu=/upload/window/REPORT/LGH-TW16-033.pdf","4등급"),IF(X256&lt;=2.8,HYPERLINK("http://www.lxhausys.co.kr/popup/rn/download/downloadPopup.jsp?from=plwindow&amp;uu=/upload/window/REPORT/LGH-TW16-033.pdf","5등급"),HYPERLINK("http://www.lxhausys.co.kr/popup/rn/download/downloadPopup.jsp?from=plwindow&amp;uu=/upload/window/REPORT/LGH-TW16-033.pdf","등급외"))))))</f>
        <v>4등급</v>
      </c>
      <c r="L256" s="5">
        <v>1.9581</v>
      </c>
      <c r="M256" s="5" t="s">
        <v>103</v>
      </c>
      <c r="N256" s="5" t="s">
        <v>607</v>
      </c>
      <c r="O256" s="5" t="s">
        <v>19</v>
      </c>
      <c r="P256" s="5" t="s">
        <v>19</v>
      </c>
      <c r="Q256" s="5" t="s">
        <v>19</v>
      </c>
      <c r="R256" s="5" t="s">
        <v>19</v>
      </c>
      <c r="S256" s="5" t="s">
        <v>19</v>
      </c>
      <c r="T256" s="5" t="s">
        <v>19</v>
      </c>
      <c r="U256" s="5" t="s">
        <v>19</v>
      </c>
      <c r="V256" s="5" t="s">
        <v>19</v>
      </c>
      <c r="W256" s="5" t="s">
        <v>19</v>
      </c>
      <c r="X256" s="19">
        <f t="shared" si="1"/>
        <v>1.9581</v>
      </c>
    </row>
    <row r="257" spans="1:24">
      <c r="A257" t="s">
        <v>60</v>
      </c>
      <c r="B257" t="s">
        <v>19</v>
      </c>
      <c r="C257" t="s">
        <v>20</v>
      </c>
      <c r="D257" t="s">
        <v>68</v>
      </c>
      <c r="E257" t="s">
        <v>19</v>
      </c>
      <c r="F257" t="s">
        <v>19</v>
      </c>
      <c r="G257" t="s">
        <v>19</v>
      </c>
      <c r="H257" t="s">
        <v>102</v>
      </c>
      <c r="I257" t="s">
        <v>19</v>
      </c>
      <c r="J257" t="s">
        <v>97</v>
      </c>
      <c r="K257" s="21" t="str">
        <f>IF(X257&lt;=0.9,HYPERLINK("http://www.lxhausys.co.kr/popup/rn/download/downloadPopup.jsp?from=plwindow&amp;uu=/upload/window/REPORT/LGH-TW16-034.pdf","1등급"),IF(X257&lt;=1.2,HYPERLINK("http://www.lxhausys.co.kr/popup/rn/download/downloadPopup.jsp?from=plwindow&amp;uu=/upload/window/REPORT/LGH-TW16-034.pdf","2등급"),IF(X257&lt;=1.8,HYPERLINK("http://www.lxhausys.co.kr/popup/rn/download/downloadPopup.jsp?from=plwindow&amp;uu=/upload/window/REPORT/LGH-TW16-034.pdf","3등급"),IF(X257&lt;=2.3,HYPERLINK("http://www.lxhausys.co.kr/popup/rn/download/downloadPopup.jsp?from=plwindow&amp;uu=/upload/window/REPORT/LGH-TW16-034.pdf","4등급"),IF(X257&lt;=2.8,HYPERLINK("http://www.lxhausys.co.kr/popup/rn/download/downloadPopup.jsp?from=plwindow&amp;uu=/upload/window/REPORT/LGH-TW16-034.pdf","5등급"),HYPERLINK("http://www.lxhausys.co.kr/popup/rn/download/downloadPopup.jsp?from=plwindow&amp;uu=/upload/window/REPORT/LGH-TW16-034.pdf","등급외"))))))</f>
        <v>2등급</v>
      </c>
      <c r="L257" s="5">
        <v>0.97170000000000001</v>
      </c>
      <c r="M257" s="5" t="s">
        <v>22</v>
      </c>
      <c r="N257" s="5" t="s">
        <v>607</v>
      </c>
      <c r="O257" s="5" t="s">
        <v>19</v>
      </c>
      <c r="P257" s="5" t="s">
        <v>19</v>
      </c>
      <c r="Q257" s="5" t="s">
        <v>19</v>
      </c>
      <c r="R257" s="5" t="s">
        <v>19</v>
      </c>
      <c r="S257" s="5" t="s">
        <v>19</v>
      </c>
      <c r="T257" s="5" t="s">
        <v>19</v>
      </c>
      <c r="U257" s="5" t="s">
        <v>19</v>
      </c>
      <c r="V257" s="5" t="s">
        <v>19</v>
      </c>
      <c r="W257" s="5" t="s">
        <v>19</v>
      </c>
      <c r="X257" s="19">
        <f t="shared" si="1"/>
        <v>0.97170000000000001</v>
      </c>
    </row>
    <row r="258" spans="1:24">
      <c r="A258" t="s">
        <v>133</v>
      </c>
      <c r="B258" t="s">
        <v>19</v>
      </c>
      <c r="C258" t="s">
        <v>20</v>
      </c>
      <c r="D258" t="s">
        <v>21</v>
      </c>
      <c r="E258" t="s">
        <v>134</v>
      </c>
      <c r="F258" t="s">
        <v>19</v>
      </c>
      <c r="G258" t="s">
        <v>19</v>
      </c>
      <c r="H258" t="s">
        <v>21</v>
      </c>
      <c r="I258" t="s">
        <v>19</v>
      </c>
      <c r="J258" t="s">
        <v>74</v>
      </c>
      <c r="K258" s="21" t="str">
        <f>IF(X258&lt;=0.9,HYPERLINK("http://www.lxhausys.co.kr/popup/rn/download/downloadPopup.jsp?from=plwindow&amp;uu=/upload/window/REPORT/LGH-TW16-035.pdf","1등급"),IF(X258&lt;=1.2,HYPERLINK("http://www.lxhausys.co.kr/popup/rn/download/downloadPopup.jsp?from=plwindow&amp;uu=/upload/window/REPORT/LGH-TW16-035.pdf","2등급"),IF(X258&lt;=1.8,HYPERLINK("http://www.lxhausys.co.kr/popup/rn/download/downloadPopup.jsp?from=plwindow&amp;uu=/upload/window/REPORT/LGH-TW16-035.pdf","3등급"),IF(X258&lt;=2.3,HYPERLINK("http://www.lxhausys.co.kr/popup/rn/download/downloadPopup.jsp?from=plwindow&amp;uu=/upload/window/REPORT/LGH-TW16-035.pdf","4등급"),IF(X258&lt;=2.8,HYPERLINK("http://www.lxhausys.co.kr/popup/rn/download/downloadPopup.jsp?from=plwindow&amp;uu=/upload/window/REPORT/LGH-TW16-035.pdf","5등급"),HYPERLINK("http://www.lxhausys.co.kr/popup/rn/download/downloadPopup.jsp?from=plwindow&amp;uu=/upload/window/REPORT/LGH-TW16-035.pdf","등급외"))))))</f>
        <v>1등급</v>
      </c>
      <c r="L258" s="5">
        <v>0.76149999999999995</v>
      </c>
      <c r="M258" s="5" t="s">
        <v>22</v>
      </c>
      <c r="N258" s="5" t="s">
        <v>607</v>
      </c>
      <c r="O258" s="5" t="s">
        <v>19</v>
      </c>
      <c r="P258" s="5" t="s">
        <v>19</v>
      </c>
      <c r="Q258" s="5" t="s">
        <v>19</v>
      </c>
      <c r="R258" s="5" t="s">
        <v>19</v>
      </c>
      <c r="S258" s="5" t="s">
        <v>19</v>
      </c>
      <c r="T258" s="5" t="s">
        <v>19</v>
      </c>
      <c r="U258" s="5" t="s">
        <v>19</v>
      </c>
      <c r="V258" s="5" t="s">
        <v>19</v>
      </c>
      <c r="W258" s="5" t="s">
        <v>19</v>
      </c>
      <c r="X258" s="19">
        <f t="shared" ref="X258:X303" si="2">L258</f>
        <v>0.76149999999999995</v>
      </c>
    </row>
    <row r="259" spans="1:24">
      <c r="A259" t="s">
        <v>135</v>
      </c>
      <c r="B259" t="s">
        <v>19</v>
      </c>
      <c r="C259" t="s">
        <v>20</v>
      </c>
      <c r="D259" t="s">
        <v>21</v>
      </c>
      <c r="E259" t="s">
        <v>134</v>
      </c>
      <c r="F259" t="s">
        <v>19</v>
      </c>
      <c r="G259" t="s">
        <v>19</v>
      </c>
      <c r="H259" t="s">
        <v>21</v>
      </c>
      <c r="I259" t="s">
        <v>19</v>
      </c>
      <c r="J259" t="s">
        <v>74</v>
      </c>
      <c r="K259" s="21" t="str">
        <f>IF(X259&lt;=0.9,HYPERLINK("http://www.lxhausys.co.kr/popup/rn/download/downloadPopup.jsp?from=plwindow&amp;uu=/upload/window/REPORT/LGH-TW16-036.pdf","1등급"),IF(X259&lt;=1.2,HYPERLINK("http://www.lxhausys.co.kr/popup/rn/download/downloadPopup.jsp?from=plwindow&amp;uu=/upload/window/REPORT/LGH-TW16-036.pdf","2등급"),IF(X259&lt;=1.8,HYPERLINK("http://www.lxhausys.co.kr/popup/rn/download/downloadPopup.jsp?from=plwindow&amp;uu=/upload/window/REPORT/LGH-TW16-036.pdf","3등급"),IF(X259&lt;=2.3,HYPERLINK("http://www.lxhausys.co.kr/popup/rn/download/downloadPopup.jsp?from=plwindow&amp;uu=/upload/window/REPORT/LGH-TW16-036.pdf","4등급"),IF(X259&lt;=2.8,HYPERLINK("http://www.lxhausys.co.kr/popup/rn/download/downloadPopup.jsp?from=plwindow&amp;uu=/upload/window/REPORT/LGH-TW16-036.pdf","5등급"),HYPERLINK("http://www.lxhausys.co.kr/popup/rn/download/downloadPopup.jsp?from=plwindow&amp;uu=/upload/window/REPORT/LGH-TW16-036.pdf","등급외"))))))</f>
        <v>1등급</v>
      </c>
      <c r="L259" s="5">
        <v>0.7631</v>
      </c>
      <c r="M259" s="5" t="s">
        <v>22</v>
      </c>
      <c r="N259" s="5" t="s">
        <v>607</v>
      </c>
      <c r="O259" s="5" t="s">
        <v>19</v>
      </c>
      <c r="P259" s="5" t="s">
        <v>19</v>
      </c>
      <c r="Q259" s="5" t="s">
        <v>19</v>
      </c>
      <c r="R259" s="5" t="s">
        <v>19</v>
      </c>
      <c r="S259" s="5" t="s">
        <v>19</v>
      </c>
      <c r="T259" s="5" t="s">
        <v>19</v>
      </c>
      <c r="U259" s="5" t="s">
        <v>19</v>
      </c>
      <c r="V259" s="5" t="s">
        <v>19</v>
      </c>
      <c r="W259" s="5" t="s">
        <v>19</v>
      </c>
      <c r="X259" s="19">
        <f t="shared" si="2"/>
        <v>0.7631</v>
      </c>
    </row>
    <row r="260" spans="1:24">
      <c r="A260" t="s">
        <v>136</v>
      </c>
      <c r="B260" t="s">
        <v>19</v>
      </c>
      <c r="C260" t="s">
        <v>20</v>
      </c>
      <c r="D260" t="s">
        <v>21</v>
      </c>
      <c r="E260" t="s">
        <v>134</v>
      </c>
      <c r="F260" t="s">
        <v>19</v>
      </c>
      <c r="G260" t="s">
        <v>19</v>
      </c>
      <c r="H260" t="s">
        <v>19</v>
      </c>
      <c r="I260" t="s">
        <v>19</v>
      </c>
      <c r="J260" t="s">
        <v>74</v>
      </c>
      <c r="K260" s="21" t="str">
        <f>IF(X260&lt;=0.9,HYPERLINK("http://www.lxhausys.co.kr/popup/rn/download/downloadPopup.jsp?from=plwindow&amp;uu=/upload/window/REPORT/LGH-TW16-037.pdf","1등급"),IF(X260&lt;=1.2,HYPERLINK("http://www.lxhausys.co.kr/popup/rn/download/downloadPopup.jsp?from=plwindow&amp;uu=/upload/window/REPORT/LGH-TW16-037.pdf","2등급"),IF(X260&lt;=1.8,HYPERLINK("http://www.lxhausys.co.kr/popup/rn/download/downloadPopup.jsp?from=plwindow&amp;uu=/upload/window/REPORT/LGH-TW16-037.pdf","3등급"),IF(X260&lt;=2.3,HYPERLINK("http://www.lxhausys.co.kr/popup/rn/download/downloadPopup.jsp?from=plwindow&amp;uu=/upload/window/REPORT/LGH-TW16-037.pdf","4등급"),IF(X260&lt;=2.8,HYPERLINK("http://www.lxhausys.co.kr/popup/rn/download/downloadPopup.jsp?from=plwindow&amp;uu=/upload/window/REPORT/LGH-TW16-037.pdf","5등급"),HYPERLINK("http://www.lxhausys.co.kr/popup/rn/download/downloadPopup.jsp?from=plwindow&amp;uu=/upload/window/REPORT/LGH-TW16-037.pdf","등급외"))))))</f>
        <v>4등급</v>
      </c>
      <c r="L260" s="5">
        <v>2.2523</v>
      </c>
      <c r="M260" s="5" t="s">
        <v>103</v>
      </c>
      <c r="N260" s="5" t="s">
        <v>607</v>
      </c>
      <c r="O260" s="5" t="s">
        <v>19</v>
      </c>
      <c r="P260" s="5" t="s">
        <v>19</v>
      </c>
      <c r="Q260" s="5" t="s">
        <v>19</v>
      </c>
      <c r="R260" s="5" t="s">
        <v>19</v>
      </c>
      <c r="S260" s="5" t="s">
        <v>19</v>
      </c>
      <c r="T260" s="5" t="s">
        <v>19</v>
      </c>
      <c r="U260" s="5" t="s">
        <v>19</v>
      </c>
      <c r="V260" s="5" t="s">
        <v>19</v>
      </c>
      <c r="W260" s="5" t="s">
        <v>19</v>
      </c>
      <c r="X260" s="19">
        <f t="shared" si="2"/>
        <v>2.2523</v>
      </c>
    </row>
    <row r="261" spans="1:24">
      <c r="A261" t="s">
        <v>69</v>
      </c>
      <c r="B261" t="s">
        <v>19</v>
      </c>
      <c r="C261" t="s">
        <v>20</v>
      </c>
      <c r="D261" t="s">
        <v>51</v>
      </c>
      <c r="E261" t="s">
        <v>19</v>
      </c>
      <c r="F261" t="s">
        <v>19</v>
      </c>
      <c r="G261" t="s">
        <v>19</v>
      </c>
      <c r="H261" t="s">
        <v>19</v>
      </c>
      <c r="I261" t="s">
        <v>19</v>
      </c>
      <c r="J261" t="s">
        <v>97</v>
      </c>
      <c r="K261" s="21" t="str">
        <f>IF(X261&lt;=0.9,HYPERLINK("http://www.lxhausys.co.kr/popup/rn/download/downloadPopup.jsp?from=plwindow&amp;uu=/upload/window/REPORT/LGH-TW16-043.pdf","1등급"),IF(X261&lt;=1.2,HYPERLINK("http://www.lxhausys.co.kr/popup/rn/download/downloadPopup.jsp?from=plwindow&amp;uu=/upload/window/REPORT/LGH-TW16-043.pdf","2등급"),IF(X261&lt;=1.8,HYPERLINK("http://www.lxhausys.co.kr/popup/rn/download/downloadPopup.jsp?from=plwindow&amp;uu=/upload/window/REPORT/LGH-TW16-043.pdf","3등급"),IF(X261&lt;=2.3,HYPERLINK("http://www.lxhausys.co.kr/popup/rn/download/downloadPopup.jsp?from=plwindow&amp;uu=/upload/window/REPORT/LGH-TW16-043.pdf","4등급"),IF(X261&lt;=2.8,HYPERLINK("http://www.lxhausys.co.kr/popup/rn/download/downloadPopup.jsp?from=plwindow&amp;uu=/upload/window/REPORT/LGH-TW16-043.pdf","5등급"),HYPERLINK("http://www.lxhausys.co.kr/popup/rn/download/downloadPopup.jsp?from=plwindow&amp;uu=/upload/window/REPORT/LGH-TW16-043.pdf","등급외"))))))</f>
        <v>2등급</v>
      </c>
      <c r="L261" s="5">
        <v>1.1089</v>
      </c>
      <c r="M261" s="5" t="s">
        <v>22</v>
      </c>
      <c r="N261" s="5" t="s">
        <v>607</v>
      </c>
      <c r="O261" s="5" t="s">
        <v>19</v>
      </c>
      <c r="P261" s="5" t="s">
        <v>19</v>
      </c>
      <c r="Q261" s="5" t="s">
        <v>19</v>
      </c>
      <c r="R261" s="5" t="s">
        <v>19</v>
      </c>
      <c r="S261" s="5" t="s">
        <v>19</v>
      </c>
      <c r="T261" s="5" t="s">
        <v>19</v>
      </c>
      <c r="U261" s="5" t="s">
        <v>19</v>
      </c>
      <c r="V261" s="5" t="s">
        <v>19</v>
      </c>
      <c r="W261" s="5" t="s">
        <v>19</v>
      </c>
      <c r="X261" s="19">
        <f t="shared" si="2"/>
        <v>1.1089</v>
      </c>
    </row>
    <row r="262" spans="1:24">
      <c r="A262" t="s">
        <v>19</v>
      </c>
      <c r="B262" t="s">
        <v>124</v>
      </c>
      <c r="C262" t="s">
        <v>20</v>
      </c>
      <c r="D262" t="s">
        <v>25</v>
      </c>
      <c r="E262" t="s">
        <v>19</v>
      </c>
      <c r="F262" t="s">
        <v>19</v>
      </c>
      <c r="G262" t="s">
        <v>19</v>
      </c>
      <c r="H262" t="s">
        <v>25</v>
      </c>
      <c r="I262" t="s">
        <v>19</v>
      </c>
      <c r="J262" t="s">
        <v>74</v>
      </c>
      <c r="K262" s="21" t="str">
        <f>IF(X262&lt;=0.9,HYPERLINK("http://www.lxhausys.co.kr/popup/rn/download/downloadPopup.jsp?from=plwindow&amp;uu=/upload/window/REPORT/LGH-TW16-044.pdf","1등급"),IF(X262&lt;=1.2,HYPERLINK("http://www.lxhausys.co.kr/popup/rn/download/downloadPopup.jsp?from=plwindow&amp;uu=/upload/window/REPORT/LGH-TW16-044.pdf","2등급"),IF(X262&lt;=1.8,HYPERLINK("http://www.lxhausys.co.kr/popup/rn/download/downloadPopup.jsp?from=plwindow&amp;uu=/upload/window/REPORT/LGH-TW16-044.pdf","3등급"),IF(X262&lt;=2.3,HYPERLINK("http://www.lxhausys.co.kr/popup/rn/download/downloadPopup.jsp?from=plwindow&amp;uu=/upload/window/REPORT/LGH-TW16-044.pdf","4등급"),IF(X262&lt;=2.8,HYPERLINK("http://www.lxhausys.co.kr/popup/rn/download/downloadPopup.jsp?from=plwindow&amp;uu=/upload/window/REPORT/LGH-TW16-044.pdf","5등급"),HYPERLINK("http://www.lxhausys.co.kr/popup/rn/download/downloadPopup.jsp?from=plwindow&amp;uu=/upload/window/REPORT/LGH-TW16-044.pdf","등급외"))))))</f>
        <v>2등급</v>
      </c>
      <c r="L262" s="5">
        <v>1.1674</v>
      </c>
      <c r="M262" s="5" t="s">
        <v>22</v>
      </c>
      <c r="N262" s="5" t="s">
        <v>607</v>
      </c>
      <c r="O262" s="5" t="s">
        <v>19</v>
      </c>
      <c r="P262" s="5" t="s">
        <v>19</v>
      </c>
      <c r="Q262" s="5" t="s">
        <v>19</v>
      </c>
      <c r="R262" s="5" t="s">
        <v>19</v>
      </c>
      <c r="S262" s="5" t="s">
        <v>19</v>
      </c>
      <c r="T262" s="5" t="s">
        <v>19</v>
      </c>
      <c r="U262" s="5" t="s">
        <v>19</v>
      </c>
      <c r="V262" s="5" t="s">
        <v>19</v>
      </c>
      <c r="W262" s="5" t="s">
        <v>19</v>
      </c>
      <c r="X262" s="19">
        <f t="shared" si="2"/>
        <v>1.1674</v>
      </c>
    </row>
    <row r="263" spans="1:24">
      <c r="A263" t="s">
        <v>19</v>
      </c>
      <c r="B263" t="s">
        <v>124</v>
      </c>
      <c r="C263" t="s">
        <v>20</v>
      </c>
      <c r="D263" t="s">
        <v>41</v>
      </c>
      <c r="E263" t="s">
        <v>19</v>
      </c>
      <c r="F263" t="s">
        <v>19</v>
      </c>
      <c r="G263" t="s">
        <v>19</v>
      </c>
      <c r="H263" t="s">
        <v>41</v>
      </c>
      <c r="I263" t="s">
        <v>19</v>
      </c>
      <c r="J263" t="s">
        <v>74</v>
      </c>
      <c r="K263" s="21" t="str">
        <f>IF(X263&lt;=0.9,HYPERLINK("http://www.lxhausys.co.kr/popup/rn/download/downloadPopup.jsp?from=plwindow&amp;uu=/upload/window/REPORT/LGH-TW16-045.pdf","1등급"),IF(X263&lt;=1.2,HYPERLINK("http://www.lxhausys.co.kr/popup/rn/download/downloadPopup.jsp?from=plwindow&amp;uu=/upload/window/REPORT/LGH-TW16-045.pdf","2등급"),IF(X263&lt;=1.8,HYPERLINK("http://www.lxhausys.co.kr/popup/rn/download/downloadPopup.jsp?from=plwindow&amp;uu=/upload/window/REPORT/LGH-TW16-045.pdf","3등급"),IF(X263&lt;=2.3,HYPERLINK("http://www.lxhausys.co.kr/popup/rn/download/downloadPopup.jsp?from=plwindow&amp;uu=/upload/window/REPORT/LGH-TW16-045.pdf","4등급"),IF(X263&lt;=2.8,HYPERLINK("http://www.lxhausys.co.kr/popup/rn/download/downloadPopup.jsp?from=plwindow&amp;uu=/upload/window/REPORT/LGH-TW16-045.pdf","5등급"),HYPERLINK("http://www.lxhausys.co.kr/popup/rn/download/downloadPopup.jsp?from=plwindow&amp;uu=/upload/window/REPORT/LGH-TW16-045.pdf","등급외"))))))</f>
        <v>3등급</v>
      </c>
      <c r="L263" s="5">
        <v>1.2644</v>
      </c>
      <c r="M263" s="5" t="s">
        <v>22</v>
      </c>
      <c r="N263" s="5" t="s">
        <v>607</v>
      </c>
      <c r="O263" s="5" t="s">
        <v>19</v>
      </c>
      <c r="P263" s="5" t="s">
        <v>19</v>
      </c>
      <c r="Q263" s="5" t="s">
        <v>19</v>
      </c>
      <c r="R263" s="5" t="s">
        <v>19</v>
      </c>
      <c r="S263" s="5" t="s">
        <v>19</v>
      </c>
      <c r="T263" s="5" t="s">
        <v>19</v>
      </c>
      <c r="U263" s="5" t="s">
        <v>19</v>
      </c>
      <c r="V263" s="5" t="s">
        <v>19</v>
      </c>
      <c r="W263" s="5" t="s">
        <v>19</v>
      </c>
      <c r="X263" s="19">
        <f t="shared" si="2"/>
        <v>1.2644</v>
      </c>
    </row>
    <row r="264" spans="1:24">
      <c r="A264" t="s">
        <v>133</v>
      </c>
      <c r="B264" t="s">
        <v>19</v>
      </c>
      <c r="C264" t="s">
        <v>20</v>
      </c>
      <c r="D264" t="s">
        <v>21</v>
      </c>
      <c r="E264" t="s">
        <v>109</v>
      </c>
      <c r="F264" t="s">
        <v>19</v>
      </c>
      <c r="G264" t="s">
        <v>19</v>
      </c>
      <c r="H264" t="s">
        <v>25</v>
      </c>
      <c r="I264" t="s">
        <v>19</v>
      </c>
      <c r="J264" t="s">
        <v>74</v>
      </c>
      <c r="K264" s="21" t="str">
        <f>IF(X264&lt;=0.9,HYPERLINK("http://www.lxhausys.co.kr/popup/rn/download/downloadPopup.jsp?from=plwindow&amp;uu=/upload/window/REPORT/LGH-TW16-046.pdf","1등급"),IF(X264&lt;=1.2,HYPERLINK("http://www.lxhausys.co.kr/popup/rn/download/downloadPopup.jsp?from=plwindow&amp;uu=/upload/window/REPORT/LGH-TW16-046.pdf","2등급"),IF(X264&lt;=1.8,HYPERLINK("http://www.lxhausys.co.kr/popup/rn/download/downloadPopup.jsp?from=plwindow&amp;uu=/upload/window/REPORT/LGH-TW16-046.pdf","3등급"),IF(X264&lt;=2.3,HYPERLINK("http://www.lxhausys.co.kr/popup/rn/download/downloadPopup.jsp?from=plwindow&amp;uu=/upload/window/REPORT/LGH-TW16-046.pdf","4등급"),IF(X264&lt;=2.8,HYPERLINK("http://www.lxhausys.co.kr/popup/rn/download/downloadPopup.jsp?from=plwindow&amp;uu=/upload/window/REPORT/LGH-TW16-046.pdf","5등급"),HYPERLINK("http://www.lxhausys.co.kr/popup/rn/download/downloadPopup.jsp?from=plwindow&amp;uu=/upload/window/REPORT/LGH-TW16-046.pdf","등급외"))))))</f>
        <v>2등급</v>
      </c>
      <c r="L264" s="5">
        <v>0.98380000000000001</v>
      </c>
      <c r="M264" s="5" t="s">
        <v>22</v>
      </c>
      <c r="N264" s="5" t="s">
        <v>607</v>
      </c>
      <c r="O264" s="5" t="s">
        <v>19</v>
      </c>
      <c r="P264" s="5" t="s">
        <v>19</v>
      </c>
      <c r="Q264" s="5" t="s">
        <v>19</v>
      </c>
      <c r="R264" s="5" t="s">
        <v>19</v>
      </c>
      <c r="S264" s="5" t="s">
        <v>19</v>
      </c>
      <c r="T264" s="5" t="s">
        <v>19</v>
      </c>
      <c r="U264" s="5" t="s">
        <v>19</v>
      </c>
      <c r="V264" s="5" t="s">
        <v>19</v>
      </c>
      <c r="W264" s="5" t="s">
        <v>19</v>
      </c>
      <c r="X264" s="19">
        <f t="shared" si="2"/>
        <v>0.98380000000000001</v>
      </c>
    </row>
    <row r="265" spans="1:24">
      <c r="A265" t="s">
        <v>19</v>
      </c>
      <c r="B265" t="s">
        <v>137</v>
      </c>
      <c r="C265" t="s">
        <v>20</v>
      </c>
      <c r="D265" t="s">
        <v>28</v>
      </c>
      <c r="E265" t="s">
        <v>19</v>
      </c>
      <c r="F265" t="s">
        <v>19</v>
      </c>
      <c r="G265" t="s">
        <v>19</v>
      </c>
      <c r="H265" t="s">
        <v>19</v>
      </c>
      <c r="I265" t="s">
        <v>19</v>
      </c>
      <c r="J265" t="s">
        <v>74</v>
      </c>
      <c r="K265" s="21" t="str">
        <f>IF(X265&lt;=0.9,HYPERLINK("http://www.lxhausys.co.kr/popup/rn/download/downloadPopup.jsp?from=plwindow&amp;uu=/upload/window/REPORT/LGH-TW16-048.pdf","1등급"),IF(X265&lt;=1.2,HYPERLINK("http://www.lxhausys.co.kr/popup/rn/download/downloadPopup.jsp?from=plwindow&amp;uu=/upload/window/REPORT/LGH-TW16-048.pdf","2등급"),IF(X265&lt;=1.8,HYPERLINK("http://www.lxhausys.co.kr/popup/rn/download/downloadPopup.jsp?from=plwindow&amp;uu=/upload/window/REPORT/LGH-TW16-048.pdf","3등급"),IF(X265&lt;=2.3,HYPERLINK("http://www.lxhausys.co.kr/popup/rn/download/downloadPopup.jsp?from=plwindow&amp;uu=/upload/window/REPORT/LGH-TW16-048.pdf","4등급"),IF(X265&lt;=2.8,HYPERLINK("http://www.lxhausys.co.kr/popup/rn/download/downloadPopup.jsp?from=plwindow&amp;uu=/upload/window/REPORT/LGH-TW16-048.pdf","5등급"),HYPERLINK("http://www.lxhausys.co.kr/popup/rn/download/downloadPopup.jsp?from=plwindow&amp;uu=/upload/window/REPORT/LGH-TW16-048.pdf","등급외"))))))</f>
        <v>4등급</v>
      </c>
      <c r="L265" s="5">
        <v>2.0550999999999999</v>
      </c>
      <c r="M265" s="5" t="s">
        <v>103</v>
      </c>
      <c r="N265" s="5" t="s">
        <v>607</v>
      </c>
      <c r="O265" s="5" t="s">
        <v>19</v>
      </c>
      <c r="P265" s="5" t="s">
        <v>19</v>
      </c>
      <c r="Q265" s="5" t="s">
        <v>19</v>
      </c>
      <c r="R265" s="5" t="s">
        <v>19</v>
      </c>
      <c r="S265" s="5" t="s">
        <v>19</v>
      </c>
      <c r="T265" s="5" t="s">
        <v>19</v>
      </c>
      <c r="U265" s="5" t="s">
        <v>19</v>
      </c>
      <c r="V265" s="5" t="s">
        <v>19</v>
      </c>
      <c r="W265" s="5" t="s">
        <v>19</v>
      </c>
      <c r="X265" s="19">
        <f t="shared" si="2"/>
        <v>2.0550999999999999</v>
      </c>
    </row>
    <row r="266" spans="1:24">
      <c r="A266" t="s">
        <v>19</v>
      </c>
      <c r="B266" t="s">
        <v>138</v>
      </c>
      <c r="C266" t="s">
        <v>20</v>
      </c>
      <c r="D266" t="s">
        <v>25</v>
      </c>
      <c r="E266" t="s">
        <v>19</v>
      </c>
      <c r="F266" t="s">
        <v>19</v>
      </c>
      <c r="G266" t="s">
        <v>19</v>
      </c>
      <c r="H266" t="s">
        <v>25</v>
      </c>
      <c r="I266" t="s">
        <v>19</v>
      </c>
      <c r="J266" t="s">
        <v>74</v>
      </c>
      <c r="K266" s="21" t="str">
        <f>IF(X266&lt;=0.9,HYPERLINK("http://www.lxhausys.co.kr/popup/rn/download/downloadPopup.jsp?from=plwindow&amp;uu=/upload/window/REPORT/LGH-TW16-052.pdf","1등급"),IF(X266&lt;=1.2,HYPERLINK("http://www.lxhausys.co.kr/popup/rn/download/downloadPopup.jsp?from=plwindow&amp;uu=/upload/window/REPORT/LGH-TW16-052.pdf","2등급"),IF(X266&lt;=1.8,HYPERLINK("http://www.lxhausys.co.kr/popup/rn/download/downloadPopup.jsp?from=plwindow&amp;uu=/upload/window/REPORT/LGH-TW16-052.pdf","3등급"),IF(X266&lt;=2.3,HYPERLINK("http://www.lxhausys.co.kr/popup/rn/download/downloadPopup.jsp?from=plwindow&amp;uu=/upload/window/REPORT/LGH-TW16-052.pdf","4등급"),IF(X266&lt;=2.8,HYPERLINK("http://www.lxhausys.co.kr/popup/rn/download/downloadPopup.jsp?from=plwindow&amp;uu=/upload/window/REPORT/LGH-TW16-052.pdf","5등급"),HYPERLINK("http://www.lxhausys.co.kr/popup/rn/download/downloadPopup.jsp?from=plwindow&amp;uu=/upload/window/REPORT/LGH-TW16-052.pdf","등급외"))))))</f>
        <v>3등급</v>
      </c>
      <c r="L266" s="5">
        <v>1.2825</v>
      </c>
      <c r="M266" s="5" t="s">
        <v>22</v>
      </c>
      <c r="N266" s="5" t="s">
        <v>607</v>
      </c>
      <c r="O266" s="5" t="s">
        <v>19</v>
      </c>
      <c r="P266" s="5" t="s">
        <v>19</v>
      </c>
      <c r="Q266" s="5" t="s">
        <v>19</v>
      </c>
      <c r="R266" s="5" t="s">
        <v>19</v>
      </c>
      <c r="S266" s="5" t="s">
        <v>19</v>
      </c>
      <c r="T266" s="5" t="s">
        <v>19</v>
      </c>
      <c r="U266" s="5" t="s">
        <v>19</v>
      </c>
      <c r="V266" s="5" t="s">
        <v>19</v>
      </c>
      <c r="W266" s="5" t="s">
        <v>19</v>
      </c>
      <c r="X266" s="19">
        <f t="shared" si="2"/>
        <v>1.2825</v>
      </c>
    </row>
    <row r="267" spans="1:24">
      <c r="A267" t="s">
        <v>19</v>
      </c>
      <c r="B267" t="s">
        <v>138</v>
      </c>
      <c r="C267" t="s">
        <v>20</v>
      </c>
      <c r="D267" t="s">
        <v>41</v>
      </c>
      <c r="E267" t="s">
        <v>19</v>
      </c>
      <c r="F267" t="s">
        <v>19</v>
      </c>
      <c r="G267" t="s">
        <v>19</v>
      </c>
      <c r="H267" t="s">
        <v>41</v>
      </c>
      <c r="I267" t="s">
        <v>19</v>
      </c>
      <c r="J267" t="s">
        <v>74</v>
      </c>
      <c r="K267" s="21" t="str">
        <f>IF(X267&lt;=0.9,HYPERLINK("http://www.lxhausys.co.kr/popup/rn/download/downloadPopup.jsp?from=plwindow&amp;uu=/upload/window/REPORT/LGH-TW16-053.pdf","1등급"),IF(X267&lt;=1.2,HYPERLINK("http://www.lxhausys.co.kr/popup/rn/download/downloadPopup.jsp?from=plwindow&amp;uu=/upload/window/REPORT/LGH-TW16-053.pdf","2등급"),IF(X267&lt;=1.8,HYPERLINK("http://www.lxhausys.co.kr/popup/rn/download/downloadPopup.jsp?from=plwindow&amp;uu=/upload/window/REPORT/LGH-TW16-053.pdf","3등급"),IF(X267&lt;=2.3,HYPERLINK("http://www.lxhausys.co.kr/popup/rn/download/downloadPopup.jsp?from=plwindow&amp;uu=/upload/window/REPORT/LGH-TW16-053.pdf","4등급"),IF(X267&lt;=2.8,HYPERLINK("http://www.lxhausys.co.kr/popup/rn/download/downloadPopup.jsp?from=plwindow&amp;uu=/upload/window/REPORT/LGH-TW16-053.pdf","5등급"),HYPERLINK("http://www.lxhausys.co.kr/popup/rn/download/downloadPopup.jsp?from=plwindow&amp;uu=/upload/window/REPORT/LGH-TW16-053.pdf","등급외"))))))</f>
        <v>3등급</v>
      </c>
      <c r="L267" s="5">
        <v>1.4276</v>
      </c>
      <c r="M267" s="5" t="s">
        <v>22</v>
      </c>
      <c r="N267" s="5" t="s">
        <v>607</v>
      </c>
      <c r="O267" s="5" t="s">
        <v>19</v>
      </c>
      <c r="P267" s="5" t="s">
        <v>19</v>
      </c>
      <c r="Q267" s="5" t="s">
        <v>19</v>
      </c>
      <c r="R267" s="5" t="s">
        <v>19</v>
      </c>
      <c r="S267" s="5" t="s">
        <v>19</v>
      </c>
      <c r="T267" s="5" t="s">
        <v>19</v>
      </c>
      <c r="U267" s="5" t="s">
        <v>19</v>
      </c>
      <c r="V267" s="5" t="s">
        <v>19</v>
      </c>
      <c r="W267" s="5" t="s">
        <v>19</v>
      </c>
      <c r="X267" s="19">
        <f t="shared" si="2"/>
        <v>1.4276</v>
      </c>
    </row>
    <row r="268" spans="1:24">
      <c r="A268" t="s">
        <v>19</v>
      </c>
      <c r="B268" t="s">
        <v>138</v>
      </c>
      <c r="C268" t="s">
        <v>20</v>
      </c>
      <c r="D268" t="s">
        <v>68</v>
      </c>
      <c r="E268" t="s">
        <v>19</v>
      </c>
      <c r="F268" t="s">
        <v>19</v>
      </c>
      <c r="G268" t="s">
        <v>19</v>
      </c>
      <c r="H268" t="s">
        <v>102</v>
      </c>
      <c r="I268" t="s">
        <v>19</v>
      </c>
      <c r="J268" t="s">
        <v>97</v>
      </c>
      <c r="K268" s="21" t="str">
        <f>IF(X268&lt;=0.9,HYPERLINK("http://www.lxhausys.co.kr/popup/rn/download/downloadPopup.jsp?from=plwindow&amp;uu=/upload/window/REPORT/LGH-TW16-054.pdf","1등급"),IF(X268&lt;=1.2,HYPERLINK("http://www.lxhausys.co.kr/popup/rn/download/downloadPopup.jsp?from=plwindow&amp;uu=/upload/window/REPORT/LGH-TW16-054.pdf","2등급"),IF(X268&lt;=1.8,HYPERLINK("http://www.lxhausys.co.kr/popup/rn/download/downloadPopup.jsp?from=plwindow&amp;uu=/upload/window/REPORT/LGH-TW16-054.pdf","3등급"),IF(X268&lt;=2.3,HYPERLINK("http://www.lxhausys.co.kr/popup/rn/download/downloadPopup.jsp?from=plwindow&amp;uu=/upload/window/REPORT/LGH-TW16-054.pdf","4등급"),IF(X268&lt;=2.8,HYPERLINK("http://www.lxhausys.co.kr/popup/rn/download/downloadPopup.jsp?from=plwindow&amp;uu=/upload/window/REPORT/LGH-TW16-054.pdf","5등급"),HYPERLINK("http://www.lxhausys.co.kr/popup/rn/download/downloadPopup.jsp?from=plwindow&amp;uu=/upload/window/REPORT/LGH-TW16-054.pdf","등급외"))))))</f>
        <v>2등급</v>
      </c>
      <c r="L268" s="5">
        <v>0.93220000000000003</v>
      </c>
      <c r="M268" s="5" t="s">
        <v>22</v>
      </c>
      <c r="N268" s="5" t="s">
        <v>607</v>
      </c>
      <c r="O268" s="5" t="s">
        <v>19</v>
      </c>
      <c r="P268" s="5" t="s">
        <v>19</v>
      </c>
      <c r="Q268" s="5" t="s">
        <v>19</v>
      </c>
      <c r="R268" s="5" t="s">
        <v>19</v>
      </c>
      <c r="S268" s="5" t="s">
        <v>19</v>
      </c>
      <c r="T268" s="5" t="s">
        <v>19</v>
      </c>
      <c r="U268" s="5" t="s">
        <v>19</v>
      </c>
      <c r="V268" s="5" t="s">
        <v>19</v>
      </c>
      <c r="W268" s="5" t="s">
        <v>19</v>
      </c>
      <c r="X268" s="19">
        <f t="shared" si="2"/>
        <v>0.93220000000000003</v>
      </c>
    </row>
    <row r="269" spans="1:24">
      <c r="A269" t="s">
        <v>19</v>
      </c>
      <c r="B269" t="s">
        <v>138</v>
      </c>
      <c r="C269" t="s">
        <v>20</v>
      </c>
      <c r="D269" t="s">
        <v>25</v>
      </c>
      <c r="E269" t="s">
        <v>19</v>
      </c>
      <c r="F269" t="s">
        <v>19</v>
      </c>
      <c r="G269" t="s">
        <v>19</v>
      </c>
      <c r="H269" t="s">
        <v>64</v>
      </c>
      <c r="I269" t="s">
        <v>19</v>
      </c>
      <c r="J269" t="s">
        <v>97</v>
      </c>
      <c r="K269" s="21" t="str">
        <f>IF(X269&lt;=0.9,HYPERLINK("http://www.lxhausys.co.kr/popup/rn/download/downloadPopup.jsp?from=plwindow&amp;uu=/upload/window/REPORT/LGH-TW16-055.pdf","1등급"),IF(X269&lt;=1.2,HYPERLINK("http://www.lxhausys.co.kr/popup/rn/download/downloadPopup.jsp?from=plwindow&amp;uu=/upload/window/REPORT/LGH-TW16-055.pdf","2등급"),IF(X269&lt;=1.8,HYPERLINK("http://www.lxhausys.co.kr/popup/rn/download/downloadPopup.jsp?from=plwindow&amp;uu=/upload/window/REPORT/LGH-TW16-055.pdf","3등급"),IF(X269&lt;=2.3,HYPERLINK("http://www.lxhausys.co.kr/popup/rn/download/downloadPopup.jsp?from=plwindow&amp;uu=/upload/window/REPORT/LGH-TW16-055.pdf","4등급"),IF(X269&lt;=2.8,HYPERLINK("http://www.lxhausys.co.kr/popup/rn/download/downloadPopup.jsp?from=plwindow&amp;uu=/upload/window/REPORT/LGH-TW16-055.pdf","5등급"),HYPERLINK("http://www.lxhausys.co.kr/popup/rn/download/downloadPopup.jsp?from=plwindow&amp;uu=/upload/window/REPORT/LGH-TW16-055.pdf","등급외"))))))</f>
        <v>2등급</v>
      </c>
      <c r="L269" s="5">
        <v>1.0334000000000001</v>
      </c>
      <c r="M269" s="5" t="s">
        <v>22</v>
      </c>
      <c r="N269" s="5" t="s">
        <v>607</v>
      </c>
      <c r="O269" s="5" t="s">
        <v>19</v>
      </c>
      <c r="P269" s="5" t="s">
        <v>19</v>
      </c>
      <c r="Q269" s="5" t="s">
        <v>19</v>
      </c>
      <c r="R269" s="5" t="s">
        <v>19</v>
      </c>
      <c r="S269" s="5" t="s">
        <v>19</v>
      </c>
      <c r="T269" s="5" t="s">
        <v>19</v>
      </c>
      <c r="U269" s="5" t="s">
        <v>19</v>
      </c>
      <c r="V269" s="5" t="s">
        <v>19</v>
      </c>
      <c r="W269" s="5" t="s">
        <v>19</v>
      </c>
      <c r="X269" s="19">
        <f t="shared" si="2"/>
        <v>1.0334000000000001</v>
      </c>
    </row>
    <row r="270" spans="1:24">
      <c r="A270" t="s">
        <v>139</v>
      </c>
      <c r="B270" t="s">
        <v>19</v>
      </c>
      <c r="C270" t="s">
        <v>20</v>
      </c>
      <c r="D270" t="s">
        <v>140</v>
      </c>
      <c r="E270" t="s">
        <v>19</v>
      </c>
      <c r="F270" t="s">
        <v>19</v>
      </c>
      <c r="G270" t="s">
        <v>19</v>
      </c>
      <c r="H270" t="s">
        <v>25</v>
      </c>
      <c r="I270" t="s">
        <v>19</v>
      </c>
      <c r="J270" t="s">
        <v>74</v>
      </c>
      <c r="K270" s="21" t="str">
        <f>IF(X270&lt;=0.9,HYPERLINK("http://www.lxhausys.co.kr/popup/rn/download/downloadPopup.jsp?from=plwindow&amp;uu=/upload/window/REPORT/LGH-TW16-056.pdf","1등급"),IF(X270&lt;=1.2,HYPERLINK("http://www.lxhausys.co.kr/popup/rn/download/downloadPopup.jsp?from=plwindow&amp;uu=/upload/window/REPORT/LGH-TW16-056.pdf","2등급"),IF(X270&lt;=1.8,HYPERLINK("http://www.lxhausys.co.kr/popup/rn/download/downloadPopup.jsp?from=plwindow&amp;uu=/upload/window/REPORT/LGH-TW16-056.pdf","3등급"),IF(X270&lt;=2.3,HYPERLINK("http://www.lxhausys.co.kr/popup/rn/download/downloadPopup.jsp?from=plwindow&amp;uu=/upload/window/REPORT/LGH-TW16-056.pdf","4등급"),IF(X270&lt;=2.8,HYPERLINK("http://www.lxhausys.co.kr/popup/rn/download/downloadPopup.jsp?from=plwindow&amp;uu=/upload/window/REPORT/LGH-TW16-056.pdf","5등급"),HYPERLINK("http://www.lxhausys.co.kr/popup/rn/download/downloadPopup.jsp?from=plwindow&amp;uu=/upload/window/REPORT/LGH-TW16-056.pdf","등급외"))))))</f>
        <v>3등급</v>
      </c>
      <c r="L270" s="5">
        <v>1.2571000000000001</v>
      </c>
      <c r="M270" s="5" t="s">
        <v>22</v>
      </c>
      <c r="N270" s="5" t="s">
        <v>607</v>
      </c>
      <c r="O270" s="5" t="s">
        <v>19</v>
      </c>
      <c r="P270" s="5" t="s">
        <v>19</v>
      </c>
      <c r="Q270" s="5" t="s">
        <v>19</v>
      </c>
      <c r="R270" s="5" t="s">
        <v>19</v>
      </c>
      <c r="S270" s="5" t="s">
        <v>19</v>
      </c>
      <c r="T270" s="5" t="s">
        <v>19</v>
      </c>
      <c r="U270" s="5" t="s">
        <v>19</v>
      </c>
      <c r="V270" s="5" t="s">
        <v>19</v>
      </c>
      <c r="W270" s="5" t="s">
        <v>19</v>
      </c>
      <c r="X270" s="19">
        <f t="shared" si="2"/>
        <v>1.2571000000000001</v>
      </c>
    </row>
    <row r="271" spans="1:24">
      <c r="A271" t="s">
        <v>55</v>
      </c>
      <c r="B271" t="s">
        <v>19</v>
      </c>
      <c r="C271" t="s">
        <v>20</v>
      </c>
      <c r="D271" t="s">
        <v>141</v>
      </c>
      <c r="E271" t="s">
        <v>19</v>
      </c>
      <c r="F271" t="s">
        <v>19</v>
      </c>
      <c r="G271" t="s">
        <v>19</v>
      </c>
      <c r="H271" t="s">
        <v>19</v>
      </c>
      <c r="I271" t="s">
        <v>19</v>
      </c>
      <c r="J271" t="s">
        <v>97</v>
      </c>
      <c r="K271" s="21" t="str">
        <f>IF(X271&lt;=0.9,HYPERLINK("http://www.lxhausys.co.kr/popup/rn/download/downloadPopup.jsp?from=plwindow&amp;uu=/upload/window/REPORT/LGH-TW16-057.pdf","1등급"),IF(X271&lt;=1.2,HYPERLINK("http://www.lxhausys.co.kr/popup/rn/download/downloadPopup.jsp?from=plwindow&amp;uu=/upload/window/REPORT/LGH-TW16-057.pdf","2등급"),IF(X271&lt;=1.8,HYPERLINK("http://www.lxhausys.co.kr/popup/rn/download/downloadPopup.jsp?from=plwindow&amp;uu=/upload/window/REPORT/LGH-TW16-057.pdf","3등급"),IF(X271&lt;=2.3,HYPERLINK("http://www.lxhausys.co.kr/popup/rn/download/downloadPopup.jsp?from=plwindow&amp;uu=/upload/window/REPORT/LGH-TW16-057.pdf","4등급"),IF(X271&lt;=2.8,HYPERLINK("http://www.lxhausys.co.kr/popup/rn/download/downloadPopup.jsp?from=plwindow&amp;uu=/upload/window/REPORT/LGH-TW16-057.pdf","5등급"),HYPERLINK("http://www.lxhausys.co.kr/popup/rn/download/downloadPopup.jsp?from=plwindow&amp;uu=/upload/window/REPORT/LGH-TW16-057.pdf","등급외"))))))</f>
        <v>3등급</v>
      </c>
      <c r="L271" s="5">
        <v>1.3387</v>
      </c>
      <c r="M271" s="5" t="s">
        <v>22</v>
      </c>
      <c r="N271" s="5" t="s">
        <v>607</v>
      </c>
      <c r="O271" s="5" t="s">
        <v>19</v>
      </c>
      <c r="P271" s="5" t="s">
        <v>19</v>
      </c>
      <c r="Q271" s="5" t="s">
        <v>19</v>
      </c>
      <c r="R271" s="5" t="s">
        <v>19</v>
      </c>
      <c r="S271" s="5" t="s">
        <v>19</v>
      </c>
      <c r="T271" s="5" t="s">
        <v>19</v>
      </c>
      <c r="U271" s="5" t="s">
        <v>19</v>
      </c>
      <c r="V271" s="5" t="s">
        <v>19</v>
      </c>
      <c r="W271" s="5" t="s">
        <v>19</v>
      </c>
      <c r="X271" s="19">
        <f t="shared" si="2"/>
        <v>1.3387</v>
      </c>
    </row>
    <row r="272" spans="1:24">
      <c r="A272" t="s">
        <v>19</v>
      </c>
      <c r="B272" t="s">
        <v>142</v>
      </c>
      <c r="C272" t="s">
        <v>20</v>
      </c>
      <c r="D272" t="s">
        <v>41</v>
      </c>
      <c r="E272" t="s">
        <v>19</v>
      </c>
      <c r="F272" t="s">
        <v>19</v>
      </c>
      <c r="G272" t="s">
        <v>19</v>
      </c>
      <c r="H272" t="s">
        <v>19</v>
      </c>
      <c r="I272" t="s">
        <v>19</v>
      </c>
      <c r="J272" t="s">
        <v>74</v>
      </c>
      <c r="K272" s="21" t="str">
        <f>IF(X272&lt;=0.9,HYPERLINK("http://www.lxhausys.co.kr/popup/rn/download/downloadPopup.jsp?from=plwindow&amp;uu=/upload/window/REPORT/LGH-TW16-058.pdf","1등급"),IF(X272&lt;=1.2,HYPERLINK("http://www.lxhausys.co.kr/popup/rn/download/downloadPopup.jsp?from=plwindow&amp;uu=/upload/window/REPORT/LGH-TW16-058.pdf","2등급"),IF(X272&lt;=1.8,HYPERLINK("http://www.lxhausys.co.kr/popup/rn/download/downloadPopup.jsp?from=plwindow&amp;uu=/upload/window/REPORT/LGH-TW16-058.pdf","3등급"),IF(X272&lt;=2.3,HYPERLINK("http://www.lxhausys.co.kr/popup/rn/download/downloadPopup.jsp?from=plwindow&amp;uu=/upload/window/REPORT/LGH-TW16-058.pdf","4등급"),IF(X272&lt;=2.8,HYPERLINK("http://www.lxhausys.co.kr/popup/rn/download/downloadPopup.jsp?from=plwindow&amp;uu=/upload/window/REPORT/LGH-TW16-058.pdf","5등급"),HYPERLINK("http://www.lxhausys.co.kr/popup/rn/download/downloadPopup.jsp?from=plwindow&amp;uu=/upload/window/REPORT/LGH-TW16-058.pdf","등급외"))))))</f>
        <v>등급외</v>
      </c>
      <c r="L272" s="5">
        <v>3.3355999999999999</v>
      </c>
      <c r="M272" s="5" t="s">
        <v>103</v>
      </c>
      <c r="N272" s="5" t="s">
        <v>607</v>
      </c>
      <c r="O272" s="5" t="s">
        <v>19</v>
      </c>
      <c r="P272" s="5" t="s">
        <v>19</v>
      </c>
      <c r="Q272" s="5" t="s">
        <v>19</v>
      </c>
      <c r="R272" s="5" t="s">
        <v>19</v>
      </c>
      <c r="S272" s="5" t="s">
        <v>19</v>
      </c>
      <c r="T272" s="5" t="s">
        <v>19</v>
      </c>
      <c r="U272" s="5" t="s">
        <v>19</v>
      </c>
      <c r="V272" s="5" t="s">
        <v>19</v>
      </c>
      <c r="W272" s="5" t="s">
        <v>19</v>
      </c>
      <c r="X272" s="19">
        <f t="shared" si="2"/>
        <v>3.3355999999999999</v>
      </c>
    </row>
    <row r="273" spans="1:24">
      <c r="A273" t="s">
        <v>19</v>
      </c>
      <c r="B273" t="s">
        <v>142</v>
      </c>
      <c r="C273" t="s">
        <v>20</v>
      </c>
      <c r="D273" t="s">
        <v>25</v>
      </c>
      <c r="E273" t="s">
        <v>19</v>
      </c>
      <c r="F273" t="s">
        <v>19</v>
      </c>
      <c r="G273" t="s">
        <v>19</v>
      </c>
      <c r="H273" t="s">
        <v>19</v>
      </c>
      <c r="I273" t="s">
        <v>19</v>
      </c>
      <c r="J273" t="s">
        <v>74</v>
      </c>
      <c r="K273" s="21" t="str">
        <f>IF(X273&lt;=0.9,HYPERLINK("http://www.lxhausys.co.kr/popup/rn/download/downloadPopup.jsp?from=plwindow&amp;uu=/upload/window/REPORT/LGH-TW16-059.pdf","1등급"),IF(X273&lt;=1.2,HYPERLINK("http://www.lxhausys.co.kr/popup/rn/download/downloadPopup.jsp?from=plwindow&amp;uu=/upload/window/REPORT/LGH-TW16-059.pdf","2등급"),IF(X273&lt;=1.8,HYPERLINK("http://www.lxhausys.co.kr/popup/rn/download/downloadPopup.jsp?from=plwindow&amp;uu=/upload/window/REPORT/LGH-TW16-059.pdf","3등급"),IF(X273&lt;=2.3,HYPERLINK("http://www.lxhausys.co.kr/popup/rn/download/downloadPopup.jsp?from=plwindow&amp;uu=/upload/window/REPORT/LGH-TW16-059.pdf","4등급"),IF(X273&lt;=2.8,HYPERLINK("http://www.lxhausys.co.kr/popup/rn/download/downloadPopup.jsp?from=plwindow&amp;uu=/upload/window/REPORT/LGH-TW16-059.pdf","5등급"),HYPERLINK("http://www.lxhausys.co.kr/popup/rn/download/downloadPopup.jsp?from=plwindow&amp;uu=/upload/window/REPORT/LGH-TW16-059.pdf","등급외"))))))</f>
        <v>등급외</v>
      </c>
      <c r="L273" s="5">
        <v>3.0339999999999998</v>
      </c>
      <c r="M273" s="5" t="s">
        <v>103</v>
      </c>
      <c r="N273" s="5" t="s">
        <v>607</v>
      </c>
      <c r="O273" s="5" t="s">
        <v>19</v>
      </c>
      <c r="P273" s="5" t="s">
        <v>19</v>
      </c>
      <c r="Q273" s="5" t="s">
        <v>19</v>
      </c>
      <c r="R273" s="5" t="s">
        <v>19</v>
      </c>
      <c r="S273" s="5" t="s">
        <v>19</v>
      </c>
      <c r="T273" s="5" t="s">
        <v>19</v>
      </c>
      <c r="U273" s="5" t="s">
        <v>19</v>
      </c>
      <c r="V273" s="5" t="s">
        <v>19</v>
      </c>
      <c r="W273" s="5" t="s">
        <v>19</v>
      </c>
      <c r="X273" s="19">
        <f t="shared" si="2"/>
        <v>3.0339999999999998</v>
      </c>
    </row>
    <row r="274" spans="1:24">
      <c r="A274" t="s">
        <v>19</v>
      </c>
      <c r="B274" t="s">
        <v>142</v>
      </c>
      <c r="C274" t="s">
        <v>20</v>
      </c>
      <c r="D274" t="s">
        <v>64</v>
      </c>
      <c r="E274" t="s">
        <v>19</v>
      </c>
      <c r="F274" t="s">
        <v>19</v>
      </c>
      <c r="G274" t="s">
        <v>19</v>
      </c>
      <c r="H274" t="s">
        <v>19</v>
      </c>
      <c r="I274" t="s">
        <v>19</v>
      </c>
      <c r="J274" t="s">
        <v>97</v>
      </c>
      <c r="K274" s="21" t="str">
        <f>IF(X274&lt;=0.9,HYPERLINK("http://www.lxhausys.co.kr/popup/rn/download/downloadPopup.jsp?from=plwindow&amp;uu=/upload/window/REPORT/LGH-TW16-060.pdf","1등급"),IF(X274&lt;=1.2,HYPERLINK("http://www.lxhausys.co.kr/popup/rn/download/downloadPopup.jsp?from=plwindow&amp;uu=/upload/window/REPORT/LGH-TW16-060.pdf","2등급"),IF(X274&lt;=1.8,HYPERLINK("http://www.lxhausys.co.kr/popup/rn/download/downloadPopup.jsp?from=plwindow&amp;uu=/upload/window/REPORT/LGH-TW16-060.pdf","3등급"),IF(X274&lt;=2.3,HYPERLINK("http://www.lxhausys.co.kr/popup/rn/download/downloadPopup.jsp?from=plwindow&amp;uu=/upload/window/REPORT/LGH-TW16-060.pdf","4등급"),IF(X274&lt;=2.8,HYPERLINK("http://www.lxhausys.co.kr/popup/rn/download/downloadPopup.jsp?from=plwindow&amp;uu=/upload/window/REPORT/LGH-TW16-060.pdf","5등급"),HYPERLINK("http://www.lxhausys.co.kr/popup/rn/download/downloadPopup.jsp?from=plwindow&amp;uu=/upload/window/REPORT/LGH-TW16-060.pdf","등급외"))))))</f>
        <v>4등급</v>
      </c>
      <c r="L274" s="5">
        <v>2.1791</v>
      </c>
      <c r="M274" s="5" t="s">
        <v>103</v>
      </c>
      <c r="N274" s="5" t="s">
        <v>607</v>
      </c>
      <c r="O274" s="5" t="s">
        <v>19</v>
      </c>
      <c r="P274" s="5" t="s">
        <v>19</v>
      </c>
      <c r="Q274" s="5" t="s">
        <v>19</v>
      </c>
      <c r="R274" s="5" t="s">
        <v>19</v>
      </c>
      <c r="S274" s="5" t="s">
        <v>19</v>
      </c>
      <c r="T274" s="5" t="s">
        <v>19</v>
      </c>
      <c r="U274" s="5" t="s">
        <v>19</v>
      </c>
      <c r="V274" s="5" t="s">
        <v>19</v>
      </c>
      <c r="W274" s="5" t="s">
        <v>19</v>
      </c>
      <c r="X274" s="19">
        <f t="shared" si="2"/>
        <v>2.1791</v>
      </c>
    </row>
    <row r="275" spans="1:24">
      <c r="A275" t="s">
        <v>19</v>
      </c>
      <c r="B275" t="s">
        <v>142</v>
      </c>
      <c r="C275" t="s">
        <v>20</v>
      </c>
      <c r="D275" t="s">
        <v>102</v>
      </c>
      <c r="E275" t="s">
        <v>19</v>
      </c>
      <c r="F275" t="s">
        <v>19</v>
      </c>
      <c r="G275" t="s">
        <v>19</v>
      </c>
      <c r="H275" t="s">
        <v>19</v>
      </c>
      <c r="I275" t="s">
        <v>19</v>
      </c>
      <c r="J275" t="s">
        <v>97</v>
      </c>
      <c r="K275" s="21" t="str">
        <f>IF(X275&lt;=0.9,HYPERLINK("http://www.lxhausys.co.kr/popup/rn/download/downloadPopup.jsp?from=plwindow&amp;uu=/upload/window/REPORT/LGH-TW16-061.pdf","1등급"),IF(X275&lt;=1.2,HYPERLINK("http://www.lxhausys.co.kr/popup/rn/download/downloadPopup.jsp?from=plwindow&amp;uu=/upload/window/REPORT/LGH-TW16-061.pdf","2등급"),IF(X275&lt;=1.8,HYPERLINK("http://www.lxhausys.co.kr/popup/rn/download/downloadPopup.jsp?from=plwindow&amp;uu=/upload/window/REPORT/LGH-TW16-061.pdf","3등급"),IF(X275&lt;=2.3,HYPERLINK("http://www.lxhausys.co.kr/popup/rn/download/downloadPopup.jsp?from=plwindow&amp;uu=/upload/window/REPORT/LGH-TW16-061.pdf","4등급"),IF(X275&lt;=2.8,HYPERLINK("http://www.lxhausys.co.kr/popup/rn/download/downloadPopup.jsp?from=plwindow&amp;uu=/upload/window/REPORT/LGH-TW16-061.pdf","5등급"),HYPERLINK("http://www.lxhausys.co.kr/popup/rn/download/downloadPopup.jsp?from=plwindow&amp;uu=/upload/window/REPORT/LGH-TW16-061.pdf","등급외"))))))</f>
        <v>4등급</v>
      </c>
      <c r="L275" s="5">
        <v>1.9369000000000001</v>
      </c>
      <c r="M275" s="5" t="s">
        <v>103</v>
      </c>
      <c r="N275" s="5" t="s">
        <v>607</v>
      </c>
      <c r="O275" s="5" t="s">
        <v>19</v>
      </c>
      <c r="P275" s="5" t="s">
        <v>19</v>
      </c>
      <c r="Q275" s="5" t="s">
        <v>19</v>
      </c>
      <c r="R275" s="5" t="s">
        <v>19</v>
      </c>
      <c r="S275" s="5" t="s">
        <v>19</v>
      </c>
      <c r="T275" s="5" t="s">
        <v>19</v>
      </c>
      <c r="U275" s="5" t="s">
        <v>19</v>
      </c>
      <c r="V275" s="5" t="s">
        <v>19</v>
      </c>
      <c r="W275" s="5" t="s">
        <v>19</v>
      </c>
      <c r="X275" s="19">
        <f t="shared" si="2"/>
        <v>1.9369000000000001</v>
      </c>
    </row>
    <row r="276" spans="1:24">
      <c r="A276" t="s">
        <v>19</v>
      </c>
      <c r="B276" t="s">
        <v>143</v>
      </c>
      <c r="C276" t="s">
        <v>20</v>
      </c>
      <c r="D276" t="s">
        <v>28</v>
      </c>
      <c r="E276" t="s">
        <v>19</v>
      </c>
      <c r="F276" t="s">
        <v>19</v>
      </c>
      <c r="G276" t="s">
        <v>19</v>
      </c>
      <c r="H276" t="s">
        <v>19</v>
      </c>
      <c r="I276" t="s">
        <v>19</v>
      </c>
      <c r="J276" t="s">
        <v>74</v>
      </c>
      <c r="K276" s="21" t="str">
        <f>IF(X276&lt;=0.9,HYPERLINK("http://www.lxhausys.co.kr/popup/rn/download/downloadPopup.jsp?from=plwindow&amp;uu=/upload/window/REPORT/LGH-TW16-063.pdf","1등급"),IF(X276&lt;=1.2,HYPERLINK("http://www.lxhausys.co.kr/popup/rn/download/downloadPopup.jsp?from=plwindow&amp;uu=/upload/window/REPORT/LGH-TW16-063.pdf","2등급"),IF(X276&lt;=1.8,HYPERLINK("http://www.lxhausys.co.kr/popup/rn/download/downloadPopup.jsp?from=plwindow&amp;uu=/upload/window/REPORT/LGH-TW16-063.pdf","3등급"),IF(X276&lt;=2.3,HYPERLINK("http://www.lxhausys.co.kr/popup/rn/download/downloadPopup.jsp?from=plwindow&amp;uu=/upload/window/REPORT/LGH-TW16-063.pdf","4등급"),IF(X276&lt;=2.8,HYPERLINK("http://www.lxhausys.co.kr/popup/rn/download/downloadPopup.jsp?from=plwindow&amp;uu=/upload/window/REPORT/LGH-TW16-063.pdf","5등급"),HYPERLINK("http://www.lxhausys.co.kr/popup/rn/download/downloadPopup.jsp?from=plwindow&amp;uu=/upload/window/REPORT/LGH-TW16-063.pdf","등급외"))))))</f>
        <v>4등급</v>
      </c>
      <c r="L276" s="5">
        <v>2.0148999999999999</v>
      </c>
      <c r="M276" s="5" t="s">
        <v>103</v>
      </c>
      <c r="N276" s="5" t="s">
        <v>607</v>
      </c>
      <c r="O276" s="5" t="s">
        <v>19</v>
      </c>
      <c r="P276" s="5" t="s">
        <v>19</v>
      </c>
      <c r="Q276" s="5" t="s">
        <v>19</v>
      </c>
      <c r="R276" s="5" t="s">
        <v>19</v>
      </c>
      <c r="S276" s="5" t="s">
        <v>19</v>
      </c>
      <c r="T276" s="5" t="s">
        <v>19</v>
      </c>
      <c r="U276" s="5" t="s">
        <v>19</v>
      </c>
      <c r="V276" s="5" t="s">
        <v>19</v>
      </c>
      <c r="W276" s="5" t="s">
        <v>19</v>
      </c>
      <c r="X276" s="19">
        <f t="shared" si="2"/>
        <v>2.0148999999999999</v>
      </c>
    </row>
    <row r="277" spans="1:24">
      <c r="A277" t="s">
        <v>61</v>
      </c>
      <c r="B277" t="s">
        <v>19</v>
      </c>
      <c r="C277" t="s">
        <v>20</v>
      </c>
      <c r="D277" t="s">
        <v>64</v>
      </c>
      <c r="E277" t="s">
        <v>19</v>
      </c>
      <c r="F277" t="s">
        <v>19</v>
      </c>
      <c r="G277" t="s">
        <v>19</v>
      </c>
      <c r="H277" t="s">
        <v>19</v>
      </c>
      <c r="I277" t="s">
        <v>19</v>
      </c>
      <c r="J277" t="s">
        <v>97</v>
      </c>
      <c r="K277" s="21" t="str">
        <f>IF(X277&lt;=0.9,HYPERLINK("http://www.lxhausys.co.kr/popup/rn/download/downloadPopup.jsp?from=plwindow&amp;uu=/upload/window/REPORT/LGH-TW16-064.pdf","1등급"),IF(X277&lt;=1.2,HYPERLINK("http://www.lxhausys.co.kr/popup/rn/download/downloadPopup.jsp?from=plwindow&amp;uu=/upload/window/REPORT/LGH-TW16-064.pdf","2등급"),IF(X277&lt;=1.8,HYPERLINK("http://www.lxhausys.co.kr/popup/rn/download/downloadPopup.jsp?from=plwindow&amp;uu=/upload/window/REPORT/LGH-TW16-064.pdf","3등급"),IF(X277&lt;=2.3,HYPERLINK("http://www.lxhausys.co.kr/popup/rn/download/downloadPopup.jsp?from=plwindow&amp;uu=/upload/window/REPORT/LGH-TW16-064.pdf","4등급"),IF(X277&lt;=2.8,HYPERLINK("http://www.lxhausys.co.kr/popup/rn/download/downloadPopup.jsp?from=plwindow&amp;uu=/upload/window/REPORT/LGH-TW16-064.pdf","5등급"),HYPERLINK("http://www.lxhausys.co.kr/popup/rn/download/downloadPopup.jsp?from=plwindow&amp;uu=/upload/window/REPORT/LGH-TW16-064.pdf","등급외"))))))</f>
        <v>4등급</v>
      </c>
      <c r="L277" s="5">
        <v>2.2006999999999999</v>
      </c>
      <c r="M277" s="5" t="s">
        <v>103</v>
      </c>
      <c r="N277" s="5" t="s">
        <v>607</v>
      </c>
      <c r="O277" s="5" t="s">
        <v>19</v>
      </c>
      <c r="P277" s="5" t="s">
        <v>19</v>
      </c>
      <c r="Q277" s="5" t="s">
        <v>19</v>
      </c>
      <c r="R277" s="5" t="s">
        <v>19</v>
      </c>
      <c r="S277" s="5" t="s">
        <v>19</v>
      </c>
      <c r="T277" s="5" t="s">
        <v>19</v>
      </c>
      <c r="U277" s="5" t="s">
        <v>19</v>
      </c>
      <c r="V277" s="5" t="s">
        <v>19</v>
      </c>
      <c r="W277" s="5" t="s">
        <v>19</v>
      </c>
      <c r="X277" s="19">
        <f t="shared" si="2"/>
        <v>2.2006999999999999</v>
      </c>
    </row>
    <row r="278" spans="1:24">
      <c r="A278" t="s">
        <v>61</v>
      </c>
      <c r="B278" t="s">
        <v>19</v>
      </c>
      <c r="C278" t="s">
        <v>20</v>
      </c>
      <c r="D278" t="s">
        <v>53</v>
      </c>
      <c r="E278" t="s">
        <v>19</v>
      </c>
      <c r="F278" t="s">
        <v>19</v>
      </c>
      <c r="G278" t="s">
        <v>19</v>
      </c>
      <c r="H278" t="s">
        <v>19</v>
      </c>
      <c r="I278" t="s">
        <v>19</v>
      </c>
      <c r="J278" t="s">
        <v>97</v>
      </c>
      <c r="K278" s="21" t="str">
        <f>IF(X278&lt;=0.9,HYPERLINK("http://www.lxhausys.co.kr/popup/rn/download/downloadPopup.jsp?from=plwindow&amp;uu=/upload/window/REPORT/LGH-TW16-065.pdf","1등급"),IF(X278&lt;=1.2,HYPERLINK("http://www.lxhausys.co.kr/popup/rn/download/downloadPopup.jsp?from=plwindow&amp;uu=/upload/window/REPORT/LGH-TW16-065.pdf","2등급"),IF(X278&lt;=1.8,HYPERLINK("http://www.lxhausys.co.kr/popup/rn/download/downloadPopup.jsp?from=plwindow&amp;uu=/upload/window/REPORT/LGH-TW16-065.pdf","3등급"),IF(X278&lt;=2.3,HYPERLINK("http://www.lxhausys.co.kr/popup/rn/download/downloadPopup.jsp?from=plwindow&amp;uu=/upload/window/REPORT/LGH-TW16-065.pdf","4등급"),IF(X278&lt;=2.8,HYPERLINK("http://www.lxhausys.co.kr/popup/rn/download/downloadPopup.jsp?from=plwindow&amp;uu=/upload/window/REPORT/LGH-TW16-065.pdf","5등급"),HYPERLINK("http://www.lxhausys.co.kr/popup/rn/download/downloadPopup.jsp?from=plwindow&amp;uu=/upload/window/REPORT/LGH-TW16-065.pdf","등급외"))))))</f>
        <v>4등급</v>
      </c>
      <c r="L278" s="5">
        <v>1.9369000000000001</v>
      </c>
      <c r="M278" s="5" t="s">
        <v>103</v>
      </c>
      <c r="N278" s="5" t="s">
        <v>607</v>
      </c>
      <c r="O278" s="5" t="s">
        <v>19</v>
      </c>
      <c r="P278" s="5" t="s">
        <v>19</v>
      </c>
      <c r="Q278" s="5" t="s">
        <v>19</v>
      </c>
      <c r="R278" s="5" t="s">
        <v>19</v>
      </c>
      <c r="S278" s="5" t="s">
        <v>19</v>
      </c>
      <c r="T278" s="5" t="s">
        <v>19</v>
      </c>
      <c r="U278" s="5" t="s">
        <v>19</v>
      </c>
      <c r="V278" s="5" t="s">
        <v>19</v>
      </c>
      <c r="W278" s="5" t="s">
        <v>19</v>
      </c>
      <c r="X278" s="19">
        <f t="shared" si="2"/>
        <v>1.9369000000000001</v>
      </c>
    </row>
    <row r="279" spans="1:24">
      <c r="A279" t="s">
        <v>61</v>
      </c>
      <c r="B279" t="s">
        <v>19</v>
      </c>
      <c r="C279" t="s">
        <v>20</v>
      </c>
      <c r="D279" t="s">
        <v>25</v>
      </c>
      <c r="E279" t="s">
        <v>19</v>
      </c>
      <c r="F279" t="s">
        <v>19</v>
      </c>
      <c r="G279" t="s">
        <v>19</v>
      </c>
      <c r="H279" t="s">
        <v>19</v>
      </c>
      <c r="I279" t="s">
        <v>19</v>
      </c>
      <c r="J279" t="s">
        <v>97</v>
      </c>
      <c r="K279" s="21" t="str">
        <f>IF(X279&lt;=0.9,HYPERLINK("http://www.lxhausys.co.kr/popup/rn/download/downloadPopup.jsp?from=plwindow&amp;uu=/upload/window/REPORT/LGH-TW16-066.pdf","1등급"),IF(X279&lt;=1.2,HYPERLINK("http://www.lxhausys.co.kr/popup/rn/download/downloadPopup.jsp?from=plwindow&amp;uu=/upload/window/REPORT/LGH-TW16-066.pdf","2등급"),IF(X279&lt;=1.8,HYPERLINK("http://www.lxhausys.co.kr/popup/rn/download/downloadPopup.jsp?from=plwindow&amp;uu=/upload/window/REPORT/LGH-TW16-066.pdf","3등급"),IF(X279&lt;=2.3,HYPERLINK("http://www.lxhausys.co.kr/popup/rn/download/downloadPopup.jsp?from=plwindow&amp;uu=/upload/window/REPORT/LGH-TW16-066.pdf","4등급"),IF(X279&lt;=2.8,HYPERLINK("http://www.lxhausys.co.kr/popup/rn/download/downloadPopup.jsp?from=plwindow&amp;uu=/upload/window/REPORT/LGH-TW16-066.pdf","5등급"),HYPERLINK("http://www.lxhausys.co.kr/popup/rn/download/downloadPopup.jsp?from=plwindow&amp;uu=/upload/window/REPORT/LGH-TW16-066.pdf","등급외"))))))</f>
        <v>등급외</v>
      </c>
      <c r="L279" s="5">
        <v>3.1396999999999999</v>
      </c>
      <c r="M279" s="5" t="s">
        <v>103</v>
      </c>
      <c r="N279" s="5" t="s">
        <v>607</v>
      </c>
      <c r="O279" s="5" t="s">
        <v>19</v>
      </c>
      <c r="P279" s="5" t="s">
        <v>19</v>
      </c>
      <c r="Q279" s="5" t="s">
        <v>19</v>
      </c>
      <c r="R279" s="5" t="s">
        <v>19</v>
      </c>
      <c r="S279" s="5" t="s">
        <v>19</v>
      </c>
      <c r="T279" s="5" t="s">
        <v>19</v>
      </c>
      <c r="U279" s="5" t="s">
        <v>19</v>
      </c>
      <c r="V279" s="5" t="s">
        <v>19</v>
      </c>
      <c r="W279" s="5" t="s">
        <v>19</v>
      </c>
      <c r="X279" s="19">
        <f t="shared" si="2"/>
        <v>3.1396999999999999</v>
      </c>
    </row>
    <row r="280" spans="1:24">
      <c r="A280" t="s">
        <v>144</v>
      </c>
      <c r="B280" t="s">
        <v>19</v>
      </c>
      <c r="C280" t="s">
        <v>20</v>
      </c>
      <c r="D280" t="s">
        <v>25</v>
      </c>
      <c r="E280" t="s">
        <v>19</v>
      </c>
      <c r="F280" t="s">
        <v>19</v>
      </c>
      <c r="G280" t="s">
        <v>19</v>
      </c>
      <c r="H280" t="s">
        <v>25</v>
      </c>
      <c r="I280" t="s">
        <v>19</v>
      </c>
      <c r="J280" t="s">
        <v>74</v>
      </c>
      <c r="K280" s="21" t="str">
        <f>IF(X280&lt;=0.9,HYPERLINK("http://www.lxhausys.co.kr/popup/rn/download/downloadPopup.jsp?from=plwindow&amp;uu=/upload/window/REPORT/LGH-TW16-072.pdf","1등급"),IF(X280&lt;=1.2,HYPERLINK("http://www.lxhausys.co.kr/popup/rn/download/downloadPopup.jsp?from=plwindow&amp;uu=/upload/window/REPORT/LGH-TW16-072.pdf","2등급"),IF(X280&lt;=1.8,HYPERLINK("http://www.lxhausys.co.kr/popup/rn/download/downloadPopup.jsp?from=plwindow&amp;uu=/upload/window/REPORT/LGH-TW16-072.pdf","3등급"),IF(X280&lt;=2.3,HYPERLINK("http://www.lxhausys.co.kr/popup/rn/download/downloadPopup.jsp?from=plwindow&amp;uu=/upload/window/REPORT/LGH-TW16-072.pdf","4등급"),IF(X280&lt;=2.8,HYPERLINK("http://www.lxhausys.co.kr/popup/rn/download/downloadPopup.jsp?from=plwindow&amp;uu=/upload/window/REPORT/LGH-TW16-072.pdf","5등급"),HYPERLINK("http://www.lxhausys.co.kr/popup/rn/download/downloadPopup.jsp?from=plwindow&amp;uu=/upload/window/REPORT/LGH-TW16-072.pdf","등급외"))))))</f>
        <v>3등급</v>
      </c>
      <c r="L280" s="5">
        <v>1.2897000000000001</v>
      </c>
      <c r="M280" s="5" t="s">
        <v>22</v>
      </c>
      <c r="N280" s="5" t="s">
        <v>607</v>
      </c>
      <c r="O280" s="5" t="s">
        <v>19</v>
      </c>
      <c r="P280" s="5" t="s">
        <v>19</v>
      </c>
      <c r="Q280" s="5" t="s">
        <v>19</v>
      </c>
      <c r="R280" s="5" t="s">
        <v>19</v>
      </c>
      <c r="S280" s="5" t="s">
        <v>19</v>
      </c>
      <c r="T280" s="5" t="s">
        <v>19</v>
      </c>
      <c r="U280" s="5" t="s">
        <v>19</v>
      </c>
      <c r="V280" s="5" t="s">
        <v>19</v>
      </c>
      <c r="W280" s="5" t="s">
        <v>19</v>
      </c>
      <c r="X280" s="19">
        <f t="shared" si="2"/>
        <v>1.2897000000000001</v>
      </c>
    </row>
    <row r="281" spans="1:24">
      <c r="A281" t="s">
        <v>144</v>
      </c>
      <c r="B281" t="s">
        <v>19</v>
      </c>
      <c r="C281" t="s">
        <v>20</v>
      </c>
      <c r="D281" t="s">
        <v>25</v>
      </c>
      <c r="E281" t="s">
        <v>19</v>
      </c>
      <c r="F281" t="s">
        <v>19</v>
      </c>
      <c r="G281" t="s">
        <v>19</v>
      </c>
      <c r="H281" t="s">
        <v>64</v>
      </c>
      <c r="I281" t="s">
        <v>19</v>
      </c>
      <c r="J281" t="s">
        <v>97</v>
      </c>
      <c r="K281" s="21" t="str">
        <f>IF(X281&lt;=0.9,HYPERLINK("http://www.lxhausys.co.kr/popup/rn/download/downloadPopup.jsp?from=plwindow&amp;uu=/upload/window/REPORT/LGH-TW16-073.pdf","1등급"),IF(X281&lt;=1.2,HYPERLINK("http://www.lxhausys.co.kr/popup/rn/download/downloadPopup.jsp?from=plwindow&amp;uu=/upload/window/REPORT/LGH-TW16-073.pdf","2등급"),IF(X281&lt;=1.8,HYPERLINK("http://www.lxhausys.co.kr/popup/rn/download/downloadPopup.jsp?from=plwindow&amp;uu=/upload/window/REPORT/LGH-TW16-073.pdf","3등급"),IF(X281&lt;=2.3,HYPERLINK("http://www.lxhausys.co.kr/popup/rn/download/downloadPopup.jsp?from=plwindow&amp;uu=/upload/window/REPORT/LGH-TW16-073.pdf","4등급"),IF(X281&lt;=2.8,HYPERLINK("http://www.lxhausys.co.kr/popup/rn/download/downloadPopup.jsp?from=plwindow&amp;uu=/upload/window/REPORT/LGH-TW16-073.pdf","5등급"),HYPERLINK("http://www.lxhausys.co.kr/popup/rn/download/downloadPopup.jsp?from=plwindow&amp;uu=/upload/window/REPORT/LGH-TW16-073.pdf","등급외"))))))</f>
        <v>2등급</v>
      </c>
      <c r="L281" s="5">
        <v>0.999</v>
      </c>
      <c r="M281" s="5" t="s">
        <v>22</v>
      </c>
      <c r="N281" s="5" t="s">
        <v>607</v>
      </c>
      <c r="O281" s="5" t="s">
        <v>19</v>
      </c>
      <c r="P281" s="5" t="s">
        <v>19</v>
      </c>
      <c r="Q281" s="5" t="s">
        <v>19</v>
      </c>
      <c r="R281" s="5" t="s">
        <v>19</v>
      </c>
      <c r="S281" s="5" t="s">
        <v>19</v>
      </c>
      <c r="T281" s="5" t="s">
        <v>19</v>
      </c>
      <c r="U281" s="5" t="s">
        <v>19</v>
      </c>
      <c r="V281" s="5" t="s">
        <v>19</v>
      </c>
      <c r="W281" s="5" t="s">
        <v>19</v>
      </c>
      <c r="X281" s="19">
        <f t="shared" si="2"/>
        <v>0.999</v>
      </c>
    </row>
    <row r="282" spans="1:24">
      <c r="A282" t="s">
        <v>144</v>
      </c>
      <c r="B282" t="s">
        <v>19</v>
      </c>
      <c r="C282" t="s">
        <v>20</v>
      </c>
      <c r="D282" t="s">
        <v>68</v>
      </c>
      <c r="E282" t="s">
        <v>19</v>
      </c>
      <c r="F282" t="s">
        <v>19</v>
      </c>
      <c r="G282" t="s">
        <v>19</v>
      </c>
      <c r="H282" t="s">
        <v>102</v>
      </c>
      <c r="I282" t="s">
        <v>19</v>
      </c>
      <c r="J282" t="s">
        <v>97</v>
      </c>
      <c r="K282" s="21" t="str">
        <f>IF(X282&lt;=0.9,HYPERLINK("http://www.lxhausys.co.kr/popup/rn/download/downloadPopup.jsp?from=plwindow&amp;uu=/upload/window/REPORT/LGH-TW16-074.pdf","1등급"),IF(X282&lt;=1.2,HYPERLINK("http://www.lxhausys.co.kr/popup/rn/download/downloadPopup.jsp?from=plwindow&amp;uu=/upload/window/REPORT/LGH-TW16-074.pdf","2등급"),IF(X282&lt;=1.8,HYPERLINK("http://www.lxhausys.co.kr/popup/rn/download/downloadPopup.jsp?from=plwindow&amp;uu=/upload/window/REPORT/LGH-TW16-074.pdf","3등급"),IF(X282&lt;=2.3,HYPERLINK("http://www.lxhausys.co.kr/popup/rn/download/downloadPopup.jsp?from=plwindow&amp;uu=/upload/window/REPORT/LGH-TW16-074.pdf","4등급"),IF(X282&lt;=2.8,HYPERLINK("http://www.lxhausys.co.kr/popup/rn/download/downloadPopup.jsp?from=plwindow&amp;uu=/upload/window/REPORT/LGH-TW16-074.pdf","5등급"),HYPERLINK("http://www.lxhausys.co.kr/popup/rn/download/downloadPopup.jsp?from=plwindow&amp;uu=/upload/window/REPORT/LGH-TW16-074.pdf","등급외"))))))</f>
        <v>2등급</v>
      </c>
      <c r="L282" s="5">
        <v>0.93210000000000004</v>
      </c>
      <c r="M282" s="5" t="s">
        <v>22</v>
      </c>
      <c r="N282" s="5" t="s">
        <v>607</v>
      </c>
      <c r="O282" s="5" t="s">
        <v>19</v>
      </c>
      <c r="P282" s="5" t="s">
        <v>19</v>
      </c>
      <c r="Q282" s="5" t="s">
        <v>19</v>
      </c>
      <c r="R282" s="5" t="s">
        <v>19</v>
      </c>
      <c r="S282" s="5" t="s">
        <v>19</v>
      </c>
      <c r="T282" s="5" t="s">
        <v>19</v>
      </c>
      <c r="U282" s="5" t="s">
        <v>19</v>
      </c>
      <c r="V282" s="5" t="s">
        <v>19</v>
      </c>
      <c r="W282" s="5" t="s">
        <v>19</v>
      </c>
      <c r="X282" s="19">
        <f t="shared" si="2"/>
        <v>0.93210000000000004</v>
      </c>
    </row>
    <row r="283" spans="1:24">
      <c r="A283" t="s">
        <v>19</v>
      </c>
      <c r="B283" t="s">
        <v>48</v>
      </c>
      <c r="C283" t="s">
        <v>20</v>
      </c>
      <c r="D283" t="s">
        <v>68</v>
      </c>
      <c r="E283" t="s">
        <v>19</v>
      </c>
      <c r="F283" t="s">
        <v>19</v>
      </c>
      <c r="G283" t="s">
        <v>19</v>
      </c>
      <c r="H283" t="s">
        <v>41</v>
      </c>
      <c r="I283" t="s">
        <v>19</v>
      </c>
      <c r="J283" t="s">
        <v>145</v>
      </c>
      <c r="K283" s="21" t="str">
        <f>IF(X283&lt;=0.9,HYPERLINK("http://www.lxhausys.co.kr/popup/rn/download/downloadPopup.jsp?from=plwindow&amp;uu=/upload/window/REPORT/LGH-TW16-075.pdf","1등급"),IF(X283&lt;=1.2,HYPERLINK("http://www.lxhausys.co.kr/popup/rn/download/downloadPopup.jsp?from=plwindow&amp;uu=/upload/window/REPORT/LGH-TW16-075.pdf","2등급"),IF(X283&lt;=1.8,HYPERLINK("http://www.lxhausys.co.kr/popup/rn/download/downloadPopup.jsp?from=plwindow&amp;uu=/upload/window/REPORT/LGH-TW16-075.pdf","3등급"),IF(X283&lt;=2.3,HYPERLINK("http://www.lxhausys.co.kr/popup/rn/download/downloadPopup.jsp?from=plwindow&amp;uu=/upload/window/REPORT/LGH-TW16-075.pdf","4등급"),IF(X283&lt;=2.8,HYPERLINK("http://www.lxhausys.co.kr/popup/rn/download/downloadPopup.jsp?from=plwindow&amp;uu=/upload/window/REPORT/LGH-TW16-075.pdf","5등급"),HYPERLINK("http://www.lxhausys.co.kr/popup/rn/download/downloadPopup.jsp?from=plwindow&amp;uu=/upload/window/REPORT/LGH-TW16-075.pdf","등급외"))))))</f>
        <v>3등급</v>
      </c>
      <c r="L283" s="5">
        <v>1.3793</v>
      </c>
      <c r="M283" s="5" t="s">
        <v>22</v>
      </c>
      <c r="N283" s="5" t="s">
        <v>607</v>
      </c>
      <c r="O283" s="5" t="s">
        <v>19</v>
      </c>
      <c r="P283" s="5" t="s">
        <v>19</v>
      </c>
      <c r="Q283" s="5" t="s">
        <v>19</v>
      </c>
      <c r="R283" s="5" t="s">
        <v>19</v>
      </c>
      <c r="S283" s="5" t="s">
        <v>19</v>
      </c>
      <c r="T283" s="5" t="s">
        <v>19</v>
      </c>
      <c r="U283" s="5" t="s">
        <v>19</v>
      </c>
      <c r="V283" s="5" t="s">
        <v>19</v>
      </c>
      <c r="W283" s="5" t="s">
        <v>19</v>
      </c>
      <c r="X283" s="19">
        <f t="shared" si="2"/>
        <v>1.3793</v>
      </c>
    </row>
    <row r="284" spans="1:24">
      <c r="A284" t="s">
        <v>60</v>
      </c>
      <c r="B284" t="s">
        <v>19</v>
      </c>
      <c r="C284" t="s">
        <v>20</v>
      </c>
      <c r="D284" t="s">
        <v>64</v>
      </c>
      <c r="E284" t="s">
        <v>19</v>
      </c>
      <c r="F284" t="s">
        <v>19</v>
      </c>
      <c r="G284" t="s">
        <v>19</v>
      </c>
      <c r="H284" t="s">
        <v>64</v>
      </c>
      <c r="I284" t="s">
        <v>19</v>
      </c>
      <c r="J284" t="s">
        <v>97</v>
      </c>
      <c r="K284" s="21" t="str">
        <f>IF(X284&lt;=0.9,HYPERLINK("http://www.lxhausys.co.kr/popup/rn/download/downloadPopup.jsp?from=plwindow&amp;uu=/upload/window/REPORT/LGH-TW16-076.pdf","1등급"),IF(X284&lt;=1.2,HYPERLINK("http://www.lxhausys.co.kr/popup/rn/download/downloadPopup.jsp?from=plwindow&amp;uu=/upload/window/REPORT/LGH-TW16-076.pdf","2등급"),IF(X284&lt;=1.8,HYPERLINK("http://www.lxhausys.co.kr/popup/rn/download/downloadPopup.jsp?from=plwindow&amp;uu=/upload/window/REPORT/LGH-TW16-076.pdf","3등급"),IF(X284&lt;=2.3,HYPERLINK("http://www.lxhausys.co.kr/popup/rn/download/downloadPopup.jsp?from=plwindow&amp;uu=/upload/window/REPORT/LGH-TW16-076.pdf","4등급"),IF(X284&lt;=2.8,HYPERLINK("http://www.lxhausys.co.kr/popup/rn/download/downloadPopup.jsp?from=plwindow&amp;uu=/upload/window/REPORT/LGH-TW16-076.pdf","5등급"),HYPERLINK("http://www.lxhausys.co.kr/popup/rn/download/downloadPopup.jsp?from=plwindow&amp;uu=/upload/window/REPORT/LGH-TW16-076.pdf","등급외"))))))</f>
        <v>1등급</v>
      </c>
      <c r="L284" s="5">
        <v>0.86639999999999995</v>
      </c>
      <c r="M284" s="5" t="s">
        <v>22</v>
      </c>
      <c r="N284" s="5" t="s">
        <v>607</v>
      </c>
      <c r="O284" s="5" t="s">
        <v>19</v>
      </c>
      <c r="P284" s="5" t="s">
        <v>19</v>
      </c>
      <c r="Q284" s="5" t="s">
        <v>19</v>
      </c>
      <c r="R284" s="5" t="s">
        <v>19</v>
      </c>
      <c r="S284" s="5" t="s">
        <v>19</v>
      </c>
      <c r="T284" s="5" t="s">
        <v>19</v>
      </c>
      <c r="U284" s="5" t="s">
        <v>19</v>
      </c>
      <c r="V284" s="5" t="s">
        <v>19</v>
      </c>
      <c r="W284" s="5" t="s">
        <v>19</v>
      </c>
      <c r="X284" s="19">
        <f t="shared" si="2"/>
        <v>0.86639999999999995</v>
      </c>
    </row>
    <row r="285" spans="1:24">
      <c r="A285" t="s">
        <v>19</v>
      </c>
      <c r="B285" t="s">
        <v>80</v>
      </c>
      <c r="C285" t="s">
        <v>20</v>
      </c>
      <c r="D285" t="s">
        <v>25</v>
      </c>
      <c r="E285" t="s">
        <v>19</v>
      </c>
      <c r="F285" t="s">
        <v>19</v>
      </c>
      <c r="G285" t="s">
        <v>19</v>
      </c>
      <c r="H285" t="s">
        <v>25</v>
      </c>
      <c r="I285" t="s">
        <v>19</v>
      </c>
      <c r="J285" t="s">
        <v>74</v>
      </c>
      <c r="K285" s="21" t="str">
        <f>IF(X285&lt;=0.9,HYPERLINK("http://www.lxhausys.co.kr/popup/rn/download/downloadPopup.jsp?from=plwindow&amp;uu=/upload/window/REPORT/LGH-TW16-077.pdf","1등급"),IF(X285&lt;=1.2,HYPERLINK("http://www.lxhausys.co.kr/popup/rn/download/downloadPopup.jsp?from=plwindow&amp;uu=/upload/window/REPORT/LGH-TW16-077.pdf","2등급"),IF(X285&lt;=1.8,HYPERLINK("http://www.lxhausys.co.kr/popup/rn/download/downloadPopup.jsp?from=plwindow&amp;uu=/upload/window/REPORT/LGH-TW16-077.pdf","3등급"),IF(X285&lt;=2.3,HYPERLINK("http://www.lxhausys.co.kr/popup/rn/download/downloadPopup.jsp?from=plwindow&amp;uu=/upload/window/REPORT/LGH-TW16-077.pdf","4등급"),IF(X285&lt;=2.8,HYPERLINK("http://www.lxhausys.co.kr/popup/rn/download/downloadPopup.jsp?from=plwindow&amp;uu=/upload/window/REPORT/LGH-TW16-077.pdf","5등급"),HYPERLINK("http://www.lxhausys.co.kr/popup/rn/download/downloadPopup.jsp?from=plwindow&amp;uu=/upload/window/REPORT/LGH-TW16-077.pdf","등급외"))))))</f>
        <v>3등급</v>
      </c>
      <c r="L285" s="5">
        <v>1.2994000000000001</v>
      </c>
      <c r="M285" s="5" t="s">
        <v>22</v>
      </c>
      <c r="N285" s="5" t="s">
        <v>607</v>
      </c>
      <c r="O285" s="5" t="s">
        <v>19</v>
      </c>
      <c r="P285" s="5" t="s">
        <v>19</v>
      </c>
      <c r="Q285" s="5" t="s">
        <v>19</v>
      </c>
      <c r="R285" s="5" t="s">
        <v>19</v>
      </c>
      <c r="S285" s="5" t="s">
        <v>19</v>
      </c>
      <c r="T285" s="5" t="s">
        <v>19</v>
      </c>
      <c r="U285" s="5" t="s">
        <v>19</v>
      </c>
      <c r="V285" s="5" t="s">
        <v>19</v>
      </c>
      <c r="W285" s="5" t="s">
        <v>19</v>
      </c>
      <c r="X285" s="19">
        <f t="shared" si="2"/>
        <v>1.2994000000000001</v>
      </c>
    </row>
    <row r="286" spans="1:24">
      <c r="A286" t="s">
        <v>146</v>
      </c>
      <c r="B286" t="s">
        <v>19</v>
      </c>
      <c r="C286" t="s">
        <v>20</v>
      </c>
      <c r="D286" t="s">
        <v>25</v>
      </c>
      <c r="E286" t="s">
        <v>19</v>
      </c>
      <c r="F286" t="s">
        <v>19</v>
      </c>
      <c r="G286" t="s">
        <v>19</v>
      </c>
      <c r="H286" t="s">
        <v>19</v>
      </c>
      <c r="I286" t="s">
        <v>19</v>
      </c>
      <c r="J286" t="s">
        <v>97</v>
      </c>
      <c r="K286" s="21" t="str">
        <f>IF(X286&lt;=0.9,HYPERLINK("http://www.lxhausys.co.kr/popup/rn/download/downloadPopup.jsp?from=plwindow&amp;uu=/upload/window/REPORT/LGH-TW16-078.pdf","1등급"),IF(X286&lt;=1.2,HYPERLINK("http://www.lxhausys.co.kr/popup/rn/download/downloadPopup.jsp?from=plwindow&amp;uu=/upload/window/REPORT/LGH-TW16-078.pdf","2등급"),IF(X286&lt;=1.8,HYPERLINK("http://www.lxhausys.co.kr/popup/rn/download/downloadPopup.jsp?from=plwindow&amp;uu=/upload/window/REPORT/LGH-TW16-078.pdf","3등급"),IF(X286&lt;=2.3,HYPERLINK("http://www.lxhausys.co.kr/popup/rn/download/downloadPopup.jsp?from=plwindow&amp;uu=/upload/window/REPORT/LGH-TW16-078.pdf","4등급"),IF(X286&lt;=2.8,HYPERLINK("http://www.lxhausys.co.kr/popup/rn/download/downloadPopup.jsp?from=plwindow&amp;uu=/upload/window/REPORT/LGH-TW16-078.pdf","5등급"),HYPERLINK("http://www.lxhausys.co.kr/popup/rn/download/downloadPopup.jsp?from=plwindow&amp;uu=/upload/window/REPORT/LGH-TW16-078.pdf","등급외"))))))</f>
        <v>등급외</v>
      </c>
      <c r="L286" s="5">
        <v>3.1027</v>
      </c>
      <c r="M286" s="5" t="s">
        <v>103</v>
      </c>
      <c r="N286" s="5" t="s">
        <v>607</v>
      </c>
      <c r="O286" s="5" t="s">
        <v>19</v>
      </c>
      <c r="P286" s="5" t="s">
        <v>19</v>
      </c>
      <c r="Q286" s="5" t="s">
        <v>19</v>
      </c>
      <c r="R286" s="5" t="s">
        <v>19</v>
      </c>
      <c r="S286" s="5" t="s">
        <v>19</v>
      </c>
      <c r="T286" s="5" t="s">
        <v>19</v>
      </c>
      <c r="U286" s="5" t="s">
        <v>19</v>
      </c>
      <c r="V286" s="5" t="s">
        <v>19</v>
      </c>
      <c r="W286" s="5" t="s">
        <v>19</v>
      </c>
      <c r="X286" s="19">
        <f t="shared" si="2"/>
        <v>3.1027</v>
      </c>
    </row>
    <row r="287" spans="1:24">
      <c r="A287" t="s">
        <v>133</v>
      </c>
      <c r="B287" t="s">
        <v>19</v>
      </c>
      <c r="C287" t="s">
        <v>20</v>
      </c>
      <c r="D287" t="s">
        <v>25</v>
      </c>
      <c r="E287" t="s">
        <v>147</v>
      </c>
      <c r="F287" t="s">
        <v>19</v>
      </c>
      <c r="G287" t="s">
        <v>19</v>
      </c>
      <c r="H287" t="s">
        <v>64</v>
      </c>
      <c r="I287" t="s">
        <v>19</v>
      </c>
      <c r="J287" t="s">
        <v>74</v>
      </c>
      <c r="K287" s="21" t="str">
        <f>IF(X287&lt;=0.9,HYPERLINK("http://www.lxhausys.co.kr/popup/rn/download/downloadPopup.jsp?from=plwindow&amp;uu=/upload/window/REPORT/LGH-TW16-079.pdf","1등급"),IF(X287&lt;=1.2,HYPERLINK("http://www.lxhausys.co.kr/popup/rn/download/downloadPopup.jsp?from=plwindow&amp;uu=/upload/window/REPORT/LGH-TW16-079.pdf","2등급"),IF(X287&lt;=1.8,HYPERLINK("http://www.lxhausys.co.kr/popup/rn/download/downloadPopup.jsp?from=plwindow&amp;uu=/upload/window/REPORT/LGH-TW16-079.pdf","3등급"),IF(X287&lt;=2.3,HYPERLINK("http://www.lxhausys.co.kr/popup/rn/download/downloadPopup.jsp?from=plwindow&amp;uu=/upload/window/REPORT/LGH-TW16-079.pdf","4등급"),IF(X287&lt;=2.8,HYPERLINK("http://www.lxhausys.co.kr/popup/rn/download/downloadPopup.jsp?from=plwindow&amp;uu=/upload/window/REPORT/LGH-TW16-079.pdf","5등급"),HYPERLINK("http://www.lxhausys.co.kr/popup/rn/download/downloadPopup.jsp?from=plwindow&amp;uu=/upload/window/REPORT/LGH-TW16-079.pdf","등급외"))))))</f>
        <v>2등급</v>
      </c>
      <c r="L287" s="5">
        <v>0.96709999999999996</v>
      </c>
      <c r="M287" s="5" t="s">
        <v>22</v>
      </c>
      <c r="N287" s="5" t="s">
        <v>607</v>
      </c>
      <c r="O287" s="5" t="s">
        <v>19</v>
      </c>
      <c r="P287" s="5" t="s">
        <v>19</v>
      </c>
      <c r="Q287" s="5" t="s">
        <v>19</v>
      </c>
      <c r="R287" s="5" t="s">
        <v>19</v>
      </c>
      <c r="S287" s="5" t="s">
        <v>19</v>
      </c>
      <c r="T287" s="5" t="s">
        <v>19</v>
      </c>
      <c r="U287" s="5" t="s">
        <v>19</v>
      </c>
      <c r="V287" s="5" t="s">
        <v>19</v>
      </c>
      <c r="W287" s="5" t="s">
        <v>19</v>
      </c>
      <c r="X287" s="19">
        <f t="shared" si="2"/>
        <v>0.96709999999999996</v>
      </c>
    </row>
    <row r="288" spans="1:24">
      <c r="A288" t="s">
        <v>44</v>
      </c>
      <c r="B288" t="s">
        <v>19</v>
      </c>
      <c r="C288" t="s">
        <v>20</v>
      </c>
      <c r="D288" t="s">
        <v>148</v>
      </c>
      <c r="E288" t="s">
        <v>19</v>
      </c>
      <c r="F288" t="s">
        <v>19</v>
      </c>
      <c r="G288" t="s">
        <v>19</v>
      </c>
      <c r="H288" t="s">
        <v>19</v>
      </c>
      <c r="I288" t="s">
        <v>19</v>
      </c>
      <c r="J288" t="s">
        <v>97</v>
      </c>
      <c r="K288" s="21" t="str">
        <f>IF(X288&lt;=0.9,HYPERLINK("http://www.lxhausys.co.kr/popup/rn/download/downloadPopup.jsp?from=plwindow&amp;uu=/upload/window/REPORT/LGH-TW16-081.pdf","1등급"),IF(X288&lt;=1.2,HYPERLINK("http://www.lxhausys.co.kr/popup/rn/download/downloadPopup.jsp?from=plwindow&amp;uu=/upload/window/REPORT/LGH-TW16-081.pdf","2등급"),IF(X288&lt;=1.8,HYPERLINK("http://www.lxhausys.co.kr/popup/rn/download/downloadPopup.jsp?from=plwindow&amp;uu=/upload/window/REPORT/LGH-TW16-081.pdf","3등급"),IF(X288&lt;=2.3,HYPERLINK("http://www.lxhausys.co.kr/popup/rn/download/downloadPopup.jsp?from=plwindow&amp;uu=/upload/window/REPORT/LGH-TW16-081.pdf","4등급"),IF(X288&lt;=2.8,HYPERLINK("http://www.lxhausys.co.kr/popup/rn/download/downloadPopup.jsp?from=plwindow&amp;uu=/upload/window/REPORT/LGH-TW16-081.pdf","5등급"),HYPERLINK("http://www.lxhausys.co.kr/popup/rn/download/downloadPopup.jsp?from=plwindow&amp;uu=/upload/window/REPORT/LGH-TW16-081.pdf","등급외"))))))</f>
        <v>3등급</v>
      </c>
      <c r="L288" s="5">
        <v>1.4843</v>
      </c>
      <c r="M288" s="5" t="s">
        <v>22</v>
      </c>
      <c r="N288" s="5" t="s">
        <v>607</v>
      </c>
      <c r="O288" s="5" t="s">
        <v>19</v>
      </c>
      <c r="P288" s="5" t="s">
        <v>19</v>
      </c>
      <c r="Q288" s="5" t="s">
        <v>19</v>
      </c>
      <c r="R288" s="5" t="s">
        <v>19</v>
      </c>
      <c r="S288" s="5" t="s">
        <v>19</v>
      </c>
      <c r="T288" s="5" t="s">
        <v>19</v>
      </c>
      <c r="U288" s="5" t="s">
        <v>19</v>
      </c>
      <c r="V288" s="5" t="s">
        <v>19</v>
      </c>
      <c r="W288" s="5" t="s">
        <v>19</v>
      </c>
      <c r="X288" s="19">
        <f t="shared" si="2"/>
        <v>1.4843</v>
      </c>
    </row>
    <row r="289" spans="1:24">
      <c r="A289" t="s">
        <v>44</v>
      </c>
      <c r="B289" t="s">
        <v>19</v>
      </c>
      <c r="C289" t="s">
        <v>20</v>
      </c>
      <c r="D289" t="s">
        <v>126</v>
      </c>
      <c r="E289" t="s">
        <v>19</v>
      </c>
      <c r="F289" t="s">
        <v>19</v>
      </c>
      <c r="G289" t="s">
        <v>19</v>
      </c>
      <c r="H289" t="s">
        <v>19</v>
      </c>
      <c r="I289" t="s">
        <v>19</v>
      </c>
      <c r="J289" t="s">
        <v>97</v>
      </c>
      <c r="K289" s="21" t="str">
        <f>IF(X289&lt;=0.9,HYPERLINK("http://www.lxhausys.co.kr/popup/rn/download/downloadPopup.jsp?from=plwindow&amp;uu=/upload/window/REPORT/LGH-TW16-082.pdf","1등급"),IF(X289&lt;=1.2,HYPERLINK("http://www.lxhausys.co.kr/popup/rn/download/downloadPopup.jsp?from=plwindow&amp;uu=/upload/window/REPORT/LGH-TW16-082.pdf","2등급"),IF(X289&lt;=1.8,HYPERLINK("http://www.lxhausys.co.kr/popup/rn/download/downloadPopup.jsp?from=plwindow&amp;uu=/upload/window/REPORT/LGH-TW16-082.pdf","3등급"),IF(X289&lt;=2.3,HYPERLINK("http://www.lxhausys.co.kr/popup/rn/download/downloadPopup.jsp?from=plwindow&amp;uu=/upload/window/REPORT/LGH-TW16-082.pdf","4등급"),IF(X289&lt;=2.8,HYPERLINK("http://www.lxhausys.co.kr/popup/rn/download/downloadPopup.jsp?from=plwindow&amp;uu=/upload/window/REPORT/LGH-TW16-082.pdf","5등급"),HYPERLINK("http://www.lxhausys.co.kr/popup/rn/download/downloadPopup.jsp?from=plwindow&amp;uu=/upload/window/REPORT/LGH-TW16-082.pdf","등급외"))))))</f>
        <v>3등급</v>
      </c>
      <c r="L289" s="5">
        <v>1.3857999999999999</v>
      </c>
      <c r="M289" s="5" t="s">
        <v>22</v>
      </c>
      <c r="N289" s="5" t="s">
        <v>607</v>
      </c>
      <c r="O289" s="5" t="s">
        <v>19</v>
      </c>
      <c r="P289" s="5" t="s">
        <v>19</v>
      </c>
      <c r="Q289" s="5" t="s">
        <v>19</v>
      </c>
      <c r="R289" s="5" t="s">
        <v>19</v>
      </c>
      <c r="S289" s="5" t="s">
        <v>19</v>
      </c>
      <c r="T289" s="5" t="s">
        <v>19</v>
      </c>
      <c r="U289" s="5" t="s">
        <v>19</v>
      </c>
      <c r="V289" s="5" t="s">
        <v>19</v>
      </c>
      <c r="W289" s="5" t="s">
        <v>19</v>
      </c>
      <c r="X289" s="19">
        <f t="shared" si="2"/>
        <v>1.3857999999999999</v>
      </c>
    </row>
    <row r="290" spans="1:24">
      <c r="A290" t="s">
        <v>69</v>
      </c>
      <c r="B290" t="s">
        <v>19</v>
      </c>
      <c r="C290" t="s">
        <v>20</v>
      </c>
      <c r="D290" t="s">
        <v>45</v>
      </c>
      <c r="E290" t="s">
        <v>19</v>
      </c>
      <c r="F290" t="s">
        <v>19</v>
      </c>
      <c r="G290" t="s">
        <v>19</v>
      </c>
      <c r="H290" t="s">
        <v>19</v>
      </c>
      <c r="I290" t="s">
        <v>19</v>
      </c>
      <c r="J290" t="s">
        <v>97</v>
      </c>
      <c r="K290" s="21" t="str">
        <f>IF(X290&lt;=0.9,HYPERLINK("http://www.lxhausys.co.kr/popup/rn/download/downloadPopup.jsp?from=plwindow&amp;uu=/upload/window/REPORT/LGH-TW16-083.pdf","1등급"),IF(X290&lt;=1.2,HYPERLINK("http://www.lxhausys.co.kr/popup/rn/download/downloadPopup.jsp?from=plwindow&amp;uu=/upload/window/REPORT/LGH-TW16-083.pdf","2등급"),IF(X290&lt;=1.8,HYPERLINK("http://www.lxhausys.co.kr/popup/rn/download/downloadPopup.jsp?from=plwindow&amp;uu=/upload/window/REPORT/LGH-TW16-083.pdf","3등급"),IF(X290&lt;=2.3,HYPERLINK("http://www.lxhausys.co.kr/popup/rn/download/downloadPopup.jsp?from=plwindow&amp;uu=/upload/window/REPORT/LGH-TW16-083.pdf","4등급"),IF(X290&lt;=2.8,HYPERLINK("http://www.lxhausys.co.kr/popup/rn/download/downloadPopup.jsp?from=plwindow&amp;uu=/upload/window/REPORT/LGH-TW16-083.pdf","5등급"),HYPERLINK("http://www.lxhausys.co.kr/popup/rn/download/downloadPopup.jsp?from=plwindow&amp;uu=/upload/window/REPORT/LGH-TW16-083.pdf","등급외"))))))</f>
        <v>2등급</v>
      </c>
      <c r="L290" s="5">
        <v>0.94220000000000004</v>
      </c>
      <c r="M290" s="5" t="s">
        <v>22</v>
      </c>
      <c r="N290" s="5" t="s">
        <v>607</v>
      </c>
      <c r="O290" s="5" t="s">
        <v>19</v>
      </c>
      <c r="P290" s="5" t="s">
        <v>19</v>
      </c>
      <c r="Q290" s="5" t="s">
        <v>19</v>
      </c>
      <c r="R290" s="5" t="s">
        <v>19</v>
      </c>
      <c r="S290" s="5" t="s">
        <v>19</v>
      </c>
      <c r="T290" s="5" t="s">
        <v>19</v>
      </c>
      <c r="U290" s="5" t="s">
        <v>19</v>
      </c>
      <c r="V290" s="5" t="s">
        <v>19</v>
      </c>
      <c r="W290" s="5" t="s">
        <v>19</v>
      </c>
      <c r="X290" s="19">
        <f t="shared" si="2"/>
        <v>0.94220000000000004</v>
      </c>
    </row>
    <row r="291" spans="1:24">
      <c r="A291" t="s">
        <v>73</v>
      </c>
      <c r="B291" t="s">
        <v>19</v>
      </c>
      <c r="C291" t="s">
        <v>20</v>
      </c>
      <c r="D291" t="s">
        <v>25</v>
      </c>
      <c r="E291" t="s">
        <v>19</v>
      </c>
      <c r="F291" t="s">
        <v>19</v>
      </c>
      <c r="G291" t="s">
        <v>19</v>
      </c>
      <c r="H291" t="s">
        <v>64</v>
      </c>
      <c r="I291" t="s">
        <v>19</v>
      </c>
      <c r="J291" t="s">
        <v>74</v>
      </c>
      <c r="K291" s="21" t="str">
        <f>IF(X291&lt;=0.9,HYPERLINK("http://www.lxhausys.co.kr/popup/rn/download/downloadPopup.jsp?from=plwindow&amp;uu=/upload/window/REPORT/LGH-TW16-084.pdf","1등급"),IF(X291&lt;=1.2,HYPERLINK("http://www.lxhausys.co.kr/popup/rn/download/downloadPopup.jsp?from=plwindow&amp;uu=/upload/window/REPORT/LGH-TW16-084.pdf","2등급"),IF(X291&lt;=1.8,HYPERLINK("http://www.lxhausys.co.kr/popup/rn/download/downloadPopup.jsp?from=plwindow&amp;uu=/upload/window/REPORT/LGH-TW16-084.pdf","3등급"),IF(X291&lt;=2.3,HYPERLINK("http://www.lxhausys.co.kr/popup/rn/download/downloadPopup.jsp?from=plwindow&amp;uu=/upload/window/REPORT/LGH-TW16-084.pdf","4등급"),IF(X291&lt;=2.8,HYPERLINK("http://www.lxhausys.co.kr/popup/rn/download/downloadPopup.jsp?from=plwindow&amp;uu=/upload/window/REPORT/LGH-TW16-084.pdf","5등급"),HYPERLINK("http://www.lxhausys.co.kr/popup/rn/download/downloadPopup.jsp?from=plwindow&amp;uu=/upload/window/REPORT/LGH-TW16-084.pdf","등급외"))))))</f>
        <v>2등급</v>
      </c>
      <c r="L291" s="5">
        <v>0.99790000000000001</v>
      </c>
      <c r="M291" s="5" t="s">
        <v>22</v>
      </c>
      <c r="N291" s="5" t="s">
        <v>607</v>
      </c>
      <c r="O291" s="5" t="s">
        <v>19</v>
      </c>
      <c r="P291" s="5" t="s">
        <v>19</v>
      </c>
      <c r="Q291" s="5" t="s">
        <v>19</v>
      </c>
      <c r="R291" s="5" t="s">
        <v>19</v>
      </c>
      <c r="S291" s="5" t="s">
        <v>19</v>
      </c>
      <c r="T291" s="5" t="s">
        <v>19</v>
      </c>
      <c r="U291" s="5" t="s">
        <v>19</v>
      </c>
      <c r="V291" s="5" t="s">
        <v>19</v>
      </c>
      <c r="W291" s="5" t="s">
        <v>19</v>
      </c>
      <c r="X291" s="19">
        <f t="shared" si="2"/>
        <v>0.99790000000000001</v>
      </c>
    </row>
    <row r="292" spans="1:24">
      <c r="A292" t="s">
        <v>144</v>
      </c>
      <c r="B292" t="s">
        <v>19</v>
      </c>
      <c r="C292" t="s">
        <v>20</v>
      </c>
      <c r="D292" t="s">
        <v>79</v>
      </c>
      <c r="E292" t="s">
        <v>19</v>
      </c>
      <c r="F292" t="s">
        <v>19</v>
      </c>
      <c r="G292" t="s">
        <v>19</v>
      </c>
      <c r="H292" t="s">
        <v>25</v>
      </c>
      <c r="I292" t="s">
        <v>19</v>
      </c>
      <c r="J292" t="s">
        <v>97</v>
      </c>
      <c r="K292" s="21" t="str">
        <f>IF(X292&lt;=0.9,HYPERLINK("http://www.lxhausys.co.kr/popup/rn/download/downloadPopup.jsp?from=plwindow&amp;uu=/upload/window/REPORT/LGH-TW16-091.pdf","1등급"),IF(X292&lt;=1.2,HYPERLINK("http://www.lxhausys.co.kr/popup/rn/download/downloadPopup.jsp?from=plwindow&amp;uu=/upload/window/REPORT/LGH-TW16-091.pdf","2등급"),IF(X292&lt;=1.8,HYPERLINK("http://www.lxhausys.co.kr/popup/rn/download/downloadPopup.jsp?from=plwindow&amp;uu=/upload/window/REPORT/LGH-TW16-091.pdf","3등급"),IF(X292&lt;=2.3,HYPERLINK("http://www.lxhausys.co.kr/popup/rn/download/downloadPopup.jsp?from=plwindow&amp;uu=/upload/window/REPORT/LGH-TW16-091.pdf","4등급"),IF(X292&lt;=2.8,HYPERLINK("http://www.lxhausys.co.kr/popup/rn/download/downloadPopup.jsp?from=plwindow&amp;uu=/upload/window/REPORT/LGH-TW16-091.pdf","5등급"),HYPERLINK("http://www.lxhausys.co.kr/popup/rn/download/downloadPopup.jsp?from=plwindow&amp;uu=/upload/window/REPORT/LGH-TW16-091.pdf","등급외"))))))</f>
        <v>3등급</v>
      </c>
      <c r="L292" s="5">
        <v>1.6832</v>
      </c>
      <c r="M292" s="5" t="s">
        <v>22</v>
      </c>
      <c r="N292" s="5" t="s">
        <v>607</v>
      </c>
      <c r="O292" s="5" t="s">
        <v>19</v>
      </c>
      <c r="P292" s="5" t="s">
        <v>19</v>
      </c>
      <c r="Q292" s="5" t="s">
        <v>19</v>
      </c>
      <c r="R292" s="5" t="s">
        <v>19</v>
      </c>
      <c r="S292" s="5" t="s">
        <v>19</v>
      </c>
      <c r="T292" s="5" t="s">
        <v>19</v>
      </c>
      <c r="U292" s="5" t="s">
        <v>19</v>
      </c>
      <c r="V292" s="5" t="s">
        <v>19</v>
      </c>
      <c r="W292" s="5" t="s">
        <v>19</v>
      </c>
      <c r="X292" s="19">
        <f t="shared" si="2"/>
        <v>1.6832</v>
      </c>
    </row>
    <row r="293" spans="1:24">
      <c r="A293" t="s">
        <v>130</v>
      </c>
      <c r="B293" t="s">
        <v>19</v>
      </c>
      <c r="C293" t="s">
        <v>20</v>
      </c>
      <c r="D293" t="s">
        <v>68</v>
      </c>
      <c r="E293" t="s">
        <v>19</v>
      </c>
      <c r="F293" t="s">
        <v>19</v>
      </c>
      <c r="G293" t="s">
        <v>19</v>
      </c>
      <c r="H293" t="s">
        <v>19</v>
      </c>
      <c r="I293" t="s">
        <v>19</v>
      </c>
      <c r="J293" t="s">
        <v>74</v>
      </c>
      <c r="K293" s="21" t="str">
        <f>IF(X293&lt;=0.9,HYPERLINK("http://www.lxhausys.co.kr/popup/rn/download/downloadPopup.jsp?from=plwindow&amp;uu=/upload/window/REPORT/LGH-TW16-092.pdf","1등급"),IF(X293&lt;=1.2,HYPERLINK("http://www.lxhausys.co.kr/popup/rn/download/downloadPopup.jsp?from=plwindow&amp;uu=/upload/window/REPORT/LGH-TW16-092.pdf","2등급"),IF(X293&lt;=1.8,HYPERLINK("http://www.lxhausys.co.kr/popup/rn/download/downloadPopup.jsp?from=plwindow&amp;uu=/upload/window/REPORT/LGH-TW16-092.pdf","3등급"),IF(X293&lt;=2.3,HYPERLINK("http://www.lxhausys.co.kr/popup/rn/download/downloadPopup.jsp?from=plwindow&amp;uu=/upload/window/REPORT/LGH-TW16-092.pdf","4등급"),IF(X293&lt;=2.8,HYPERLINK("http://www.lxhausys.co.kr/popup/rn/download/downloadPopup.jsp?from=plwindow&amp;uu=/upload/window/REPORT/LGH-TW16-092.pdf","5등급"),HYPERLINK("http://www.lxhausys.co.kr/popup/rn/download/downloadPopup.jsp?from=plwindow&amp;uu=/upload/window/REPORT/LGH-TW16-092.pdf","등급외"))))))</f>
        <v>등급외</v>
      </c>
      <c r="L293" s="5">
        <v>3.0247999999999999</v>
      </c>
      <c r="M293" s="5" t="s">
        <v>103</v>
      </c>
      <c r="N293" s="5" t="s">
        <v>607</v>
      </c>
      <c r="O293" s="5" t="s">
        <v>19</v>
      </c>
      <c r="P293" s="5" t="s">
        <v>19</v>
      </c>
      <c r="Q293" s="5" t="s">
        <v>19</v>
      </c>
      <c r="R293" s="5" t="s">
        <v>19</v>
      </c>
      <c r="S293" s="5" t="s">
        <v>19</v>
      </c>
      <c r="T293" s="5" t="s">
        <v>19</v>
      </c>
      <c r="U293" s="5" t="s">
        <v>19</v>
      </c>
      <c r="V293" s="5" t="s">
        <v>19</v>
      </c>
      <c r="W293" s="5" t="s">
        <v>19</v>
      </c>
      <c r="X293" s="19">
        <f t="shared" si="2"/>
        <v>3.0247999999999999</v>
      </c>
    </row>
    <row r="294" spans="1:24">
      <c r="A294" t="s">
        <v>19</v>
      </c>
      <c r="B294" t="s">
        <v>149</v>
      </c>
      <c r="C294" t="s">
        <v>20</v>
      </c>
      <c r="D294" t="s">
        <v>25</v>
      </c>
      <c r="E294" t="s">
        <v>19</v>
      </c>
      <c r="F294" t="s">
        <v>19</v>
      </c>
      <c r="G294" t="s">
        <v>19</v>
      </c>
      <c r="H294" t="s">
        <v>53</v>
      </c>
      <c r="I294" t="s">
        <v>19</v>
      </c>
      <c r="J294" t="s">
        <v>97</v>
      </c>
      <c r="K294" s="21" t="str">
        <f>IF(X294&lt;=0.9,HYPERLINK("http://www.lxhausys.co.kr/popup/rn/download/downloadPopup.jsp?from=plwindow&amp;uu=/upload/window/REPORT/LGH-TW17-001.pdf","1등급"),IF(X294&lt;=1.2,HYPERLINK("http://www.lxhausys.co.kr/popup/rn/download/downloadPopup.jsp?from=plwindow&amp;uu=/upload/window/REPORT/LGH-TW17-001.pdf","2등급"),IF(X294&lt;=1.8,HYPERLINK("http://www.lxhausys.co.kr/popup/rn/download/downloadPopup.jsp?from=plwindow&amp;uu=/upload/window/REPORT/LGH-TW17-001.pdf","3등급"),IF(X294&lt;=2.3,HYPERLINK("http://www.lxhausys.co.kr/popup/rn/download/downloadPopup.jsp?from=plwindow&amp;uu=/upload/window/REPORT/LGH-TW17-001.pdf","4등급"),IF(X294&lt;=2.8,HYPERLINK("http://www.lxhausys.co.kr/popup/rn/download/downloadPopup.jsp?from=plwindow&amp;uu=/upload/window/REPORT/LGH-TW17-001.pdf","5등급"),HYPERLINK("http://www.lxhausys.co.kr/popup/rn/download/downloadPopup.jsp?from=plwindow&amp;uu=/upload/window/REPORT/LGH-TW17-001.pdf","등급외"))))))</f>
        <v>2등급</v>
      </c>
      <c r="L294" s="5">
        <v>0.92110000000000003</v>
      </c>
      <c r="M294" s="5" t="s">
        <v>22</v>
      </c>
      <c r="N294" s="5" t="s">
        <v>607</v>
      </c>
      <c r="O294" s="5" t="s">
        <v>19</v>
      </c>
      <c r="P294" s="5" t="s">
        <v>19</v>
      </c>
      <c r="Q294" s="5" t="s">
        <v>19</v>
      </c>
      <c r="R294" s="5" t="s">
        <v>19</v>
      </c>
      <c r="S294" s="5" t="s">
        <v>19</v>
      </c>
      <c r="T294" s="5" t="s">
        <v>19</v>
      </c>
      <c r="U294" s="5" t="s">
        <v>19</v>
      </c>
      <c r="V294" s="5" t="s">
        <v>19</v>
      </c>
      <c r="W294" s="5" t="s">
        <v>19</v>
      </c>
      <c r="X294" s="19">
        <f t="shared" si="2"/>
        <v>0.92110000000000003</v>
      </c>
    </row>
    <row r="295" spans="1:24">
      <c r="A295" t="s">
        <v>19</v>
      </c>
      <c r="B295" t="s">
        <v>149</v>
      </c>
      <c r="C295" t="s">
        <v>20</v>
      </c>
      <c r="D295" t="s">
        <v>25</v>
      </c>
      <c r="E295" t="s">
        <v>19</v>
      </c>
      <c r="F295" t="s">
        <v>19</v>
      </c>
      <c r="G295" t="s">
        <v>19</v>
      </c>
      <c r="H295" t="s">
        <v>64</v>
      </c>
      <c r="I295" t="s">
        <v>19</v>
      </c>
      <c r="J295" t="s">
        <v>97</v>
      </c>
      <c r="K295" s="21" t="str">
        <f>IF(X295&lt;=0.9,HYPERLINK("http://www.lxhausys.co.kr/popup/rn/download/downloadPopup.jsp?from=plwindow&amp;uu=/upload/window/REPORT/LGH-TW17-002.pdf","1등급"),IF(X295&lt;=1.2,HYPERLINK("http://www.lxhausys.co.kr/popup/rn/download/downloadPopup.jsp?from=plwindow&amp;uu=/upload/window/REPORT/LGH-TW17-002.pdf","2등급"),IF(X295&lt;=1.8,HYPERLINK("http://www.lxhausys.co.kr/popup/rn/download/downloadPopup.jsp?from=plwindow&amp;uu=/upload/window/REPORT/LGH-TW17-002.pdf","3등급"),IF(X295&lt;=2.3,HYPERLINK("http://www.lxhausys.co.kr/popup/rn/download/downloadPopup.jsp?from=plwindow&amp;uu=/upload/window/REPORT/LGH-TW17-002.pdf","4등급"),IF(X295&lt;=2.8,HYPERLINK("http://www.lxhausys.co.kr/popup/rn/download/downloadPopup.jsp?from=plwindow&amp;uu=/upload/window/REPORT/LGH-TW17-002.pdf","5등급"),HYPERLINK("http://www.lxhausys.co.kr/popup/rn/download/downloadPopup.jsp?from=plwindow&amp;uu=/upload/window/REPORT/LGH-TW17-002.pdf","등급외"))))))</f>
        <v>2등급</v>
      </c>
      <c r="L295" s="5">
        <v>1.0302</v>
      </c>
      <c r="M295" s="5" t="s">
        <v>103</v>
      </c>
      <c r="N295" s="5" t="s">
        <v>607</v>
      </c>
      <c r="O295" s="5" t="s">
        <v>19</v>
      </c>
      <c r="P295" s="5" t="s">
        <v>19</v>
      </c>
      <c r="Q295" s="5" t="s">
        <v>19</v>
      </c>
      <c r="R295" s="5" t="s">
        <v>19</v>
      </c>
      <c r="S295" s="5" t="s">
        <v>19</v>
      </c>
      <c r="T295" s="5" t="s">
        <v>19</v>
      </c>
      <c r="U295" s="5" t="s">
        <v>19</v>
      </c>
      <c r="V295" s="5" t="s">
        <v>19</v>
      </c>
      <c r="W295" s="5" t="s">
        <v>19</v>
      </c>
      <c r="X295" s="19">
        <f t="shared" si="2"/>
        <v>1.0302</v>
      </c>
    </row>
    <row r="296" spans="1:24">
      <c r="A296" t="s">
        <v>19</v>
      </c>
      <c r="B296" t="s">
        <v>149</v>
      </c>
      <c r="C296" t="s">
        <v>20</v>
      </c>
      <c r="D296" t="s">
        <v>25</v>
      </c>
      <c r="E296" t="s">
        <v>19</v>
      </c>
      <c r="F296" t="s">
        <v>19</v>
      </c>
      <c r="G296" t="s">
        <v>19</v>
      </c>
      <c r="H296" t="s">
        <v>25</v>
      </c>
      <c r="I296" t="s">
        <v>19</v>
      </c>
      <c r="J296" t="s">
        <v>74</v>
      </c>
      <c r="K296" s="21" t="str">
        <f>IF(X296&lt;=0.9,HYPERLINK("http://www.lxhausys.co.kr/popup/rn/download/downloadPopup.jsp?from=plwindow&amp;uu=/upload/window/REPORT/LGH-TW17-003.pdf","1등급"),IF(X296&lt;=1.2,HYPERLINK("http://www.lxhausys.co.kr/popup/rn/download/downloadPopup.jsp?from=plwindow&amp;uu=/upload/window/REPORT/LGH-TW17-003.pdf","2등급"),IF(X296&lt;=1.8,HYPERLINK("http://www.lxhausys.co.kr/popup/rn/download/downloadPopup.jsp?from=plwindow&amp;uu=/upload/window/REPORT/LGH-TW17-003.pdf","3등급"),IF(X296&lt;=2.3,HYPERLINK("http://www.lxhausys.co.kr/popup/rn/download/downloadPopup.jsp?from=plwindow&amp;uu=/upload/window/REPORT/LGH-TW17-003.pdf","4등급"),IF(X296&lt;=2.8,HYPERLINK("http://www.lxhausys.co.kr/popup/rn/download/downloadPopup.jsp?from=plwindow&amp;uu=/upload/window/REPORT/LGH-TW17-003.pdf","5등급"),HYPERLINK("http://www.lxhausys.co.kr/popup/rn/download/downloadPopup.jsp?from=plwindow&amp;uu=/upload/window/REPORT/LGH-TW17-003.pdf","등급외"))))))</f>
        <v>3등급</v>
      </c>
      <c r="L296" s="5">
        <v>1.33</v>
      </c>
      <c r="M296" s="5" t="s">
        <v>103</v>
      </c>
      <c r="N296" s="5" t="s">
        <v>607</v>
      </c>
      <c r="O296" s="5" t="s">
        <v>19</v>
      </c>
      <c r="P296" s="5" t="s">
        <v>19</v>
      </c>
      <c r="Q296" s="5" t="s">
        <v>19</v>
      </c>
      <c r="R296" s="5" t="s">
        <v>19</v>
      </c>
      <c r="S296" s="5" t="s">
        <v>19</v>
      </c>
      <c r="T296" s="5" t="s">
        <v>19</v>
      </c>
      <c r="U296" s="5" t="s">
        <v>19</v>
      </c>
      <c r="V296" s="5" t="s">
        <v>19</v>
      </c>
      <c r="W296" s="5" t="s">
        <v>19</v>
      </c>
      <c r="X296" s="19">
        <f t="shared" si="2"/>
        <v>1.33</v>
      </c>
    </row>
    <row r="297" spans="1:24">
      <c r="A297" t="s">
        <v>19</v>
      </c>
      <c r="B297" t="s">
        <v>149</v>
      </c>
      <c r="C297" t="s">
        <v>20</v>
      </c>
      <c r="D297" t="s">
        <v>68</v>
      </c>
      <c r="E297" t="s">
        <v>19</v>
      </c>
      <c r="F297" t="s">
        <v>19</v>
      </c>
      <c r="G297" t="s">
        <v>19</v>
      </c>
      <c r="H297" t="s">
        <v>102</v>
      </c>
      <c r="I297" t="s">
        <v>19</v>
      </c>
      <c r="J297" t="s">
        <v>97</v>
      </c>
      <c r="K297" s="21" t="str">
        <f>IF(X297&lt;=0.9,HYPERLINK("http://www.lxhausys.co.kr/popup/rn/download/downloadPopup.jsp?from=plwindow&amp;uu=/upload/window/REPORT/LGH-TW17-004.pdf","1등급"),IF(X297&lt;=1.2,HYPERLINK("http://www.lxhausys.co.kr/popup/rn/download/downloadPopup.jsp?from=plwindow&amp;uu=/upload/window/REPORT/LGH-TW17-004.pdf","2등급"),IF(X297&lt;=1.8,HYPERLINK("http://www.lxhausys.co.kr/popup/rn/download/downloadPopup.jsp?from=plwindow&amp;uu=/upload/window/REPORT/LGH-TW17-004.pdf","3등급"),IF(X297&lt;=2.3,HYPERLINK("http://www.lxhausys.co.kr/popup/rn/download/downloadPopup.jsp?from=plwindow&amp;uu=/upload/window/REPORT/LGH-TW17-004.pdf","4등급"),IF(X297&lt;=2.8,HYPERLINK("http://www.lxhausys.co.kr/popup/rn/download/downloadPopup.jsp?from=plwindow&amp;uu=/upload/window/REPORT/LGH-TW17-004.pdf","5등급"),HYPERLINK("http://www.lxhausys.co.kr/popup/rn/download/downloadPopup.jsp?from=plwindow&amp;uu=/upload/window/REPORT/LGH-TW17-004.pdf","등급외"))))))</f>
        <v>2등급</v>
      </c>
      <c r="L297" s="5">
        <v>0.98819999999999997</v>
      </c>
      <c r="M297" s="5" t="s">
        <v>22</v>
      </c>
      <c r="N297" s="5" t="s">
        <v>607</v>
      </c>
      <c r="O297" s="5" t="s">
        <v>19</v>
      </c>
      <c r="P297" s="5" t="s">
        <v>19</v>
      </c>
      <c r="Q297" s="5" t="s">
        <v>19</v>
      </c>
      <c r="R297" s="5" t="s">
        <v>19</v>
      </c>
      <c r="S297" s="5" t="s">
        <v>19</v>
      </c>
      <c r="T297" s="5" t="s">
        <v>19</v>
      </c>
      <c r="U297" s="5" t="s">
        <v>19</v>
      </c>
      <c r="V297" s="5" t="s">
        <v>19</v>
      </c>
      <c r="W297" s="5" t="s">
        <v>19</v>
      </c>
      <c r="X297" s="19">
        <f t="shared" si="2"/>
        <v>0.98819999999999997</v>
      </c>
    </row>
    <row r="298" spans="1:24">
      <c r="A298" t="s">
        <v>19</v>
      </c>
      <c r="B298" t="s">
        <v>149</v>
      </c>
      <c r="C298" t="s">
        <v>20</v>
      </c>
      <c r="D298" t="s">
        <v>68</v>
      </c>
      <c r="E298" t="s">
        <v>19</v>
      </c>
      <c r="F298" t="s">
        <v>19</v>
      </c>
      <c r="G298" t="s">
        <v>19</v>
      </c>
      <c r="H298" t="s">
        <v>68</v>
      </c>
      <c r="I298" t="s">
        <v>19</v>
      </c>
      <c r="J298" t="s">
        <v>74</v>
      </c>
      <c r="K298" s="21" t="str">
        <f>IF(X298&lt;=0.9,HYPERLINK("http://www.lxhausys.co.kr/popup/rn/download/downloadPopup.jsp?from=plwindow&amp;uu=/upload/window/REPORT/LGH-TW17-005.pdf","1등급"),IF(X298&lt;=1.2,HYPERLINK("http://www.lxhausys.co.kr/popup/rn/download/downloadPopup.jsp?from=plwindow&amp;uu=/upload/window/REPORT/LGH-TW17-005.pdf","2등급"),IF(X298&lt;=1.8,HYPERLINK("http://www.lxhausys.co.kr/popup/rn/download/downloadPopup.jsp?from=plwindow&amp;uu=/upload/window/REPORT/LGH-TW17-005.pdf","3등급"),IF(X298&lt;=2.3,HYPERLINK("http://www.lxhausys.co.kr/popup/rn/download/downloadPopup.jsp?from=plwindow&amp;uu=/upload/window/REPORT/LGH-TW17-005.pdf","4등급"),IF(X298&lt;=2.8,HYPERLINK("http://www.lxhausys.co.kr/popup/rn/download/downloadPopup.jsp?from=plwindow&amp;uu=/upload/window/REPORT/LGH-TW17-005.pdf","5등급"),HYPERLINK("http://www.lxhausys.co.kr/popup/rn/download/downloadPopup.jsp?from=plwindow&amp;uu=/upload/window/REPORT/LGH-TW17-005.pdf","등급외"))))))</f>
        <v>3등급</v>
      </c>
      <c r="L298" s="5">
        <v>1.276</v>
      </c>
      <c r="M298" s="5" t="s">
        <v>103</v>
      </c>
      <c r="N298" s="5" t="s">
        <v>607</v>
      </c>
      <c r="O298" s="5" t="s">
        <v>19</v>
      </c>
      <c r="P298" s="5" t="s">
        <v>19</v>
      </c>
      <c r="Q298" s="5" t="s">
        <v>19</v>
      </c>
      <c r="R298" s="5" t="s">
        <v>19</v>
      </c>
      <c r="S298" s="5" t="s">
        <v>19</v>
      </c>
      <c r="T298" s="5" t="s">
        <v>19</v>
      </c>
      <c r="U298" s="5" t="s">
        <v>19</v>
      </c>
      <c r="V298" s="5" t="s">
        <v>19</v>
      </c>
      <c r="W298" s="5" t="s">
        <v>19</v>
      </c>
      <c r="X298" s="19">
        <f t="shared" si="2"/>
        <v>1.276</v>
      </c>
    </row>
    <row r="299" spans="1:24">
      <c r="A299" t="s">
        <v>19</v>
      </c>
      <c r="B299" t="s">
        <v>149</v>
      </c>
      <c r="C299" t="s">
        <v>20</v>
      </c>
      <c r="D299" t="s">
        <v>41</v>
      </c>
      <c r="E299" t="s">
        <v>19</v>
      </c>
      <c r="F299" t="s">
        <v>19</v>
      </c>
      <c r="G299" t="s">
        <v>19</v>
      </c>
      <c r="H299" t="s">
        <v>41</v>
      </c>
      <c r="I299" t="s">
        <v>19</v>
      </c>
      <c r="J299" t="s">
        <v>74</v>
      </c>
      <c r="K299" s="21" t="str">
        <f>IF(X299&lt;=0.9,HYPERLINK("http://www.lxhausys.co.kr/popup/rn/download/downloadPopup.jsp?from=plwindow&amp;uu=/upload/window/REPORT/LGH-TW17-006.pdf","1등급"),IF(X299&lt;=1.2,HYPERLINK("http://www.lxhausys.co.kr/popup/rn/download/downloadPopup.jsp?from=plwindow&amp;uu=/upload/window/REPORT/LGH-TW17-006.pdf","2등급"),IF(X299&lt;=1.8,HYPERLINK("http://www.lxhausys.co.kr/popup/rn/download/downloadPopup.jsp?from=plwindow&amp;uu=/upload/window/REPORT/LGH-TW17-006.pdf","3등급"),IF(X299&lt;=2.3,HYPERLINK("http://www.lxhausys.co.kr/popup/rn/download/downloadPopup.jsp?from=plwindow&amp;uu=/upload/window/REPORT/LGH-TW17-006.pdf","4등급"),IF(X299&lt;=2.8,HYPERLINK("http://www.lxhausys.co.kr/popup/rn/download/downloadPopup.jsp?from=plwindow&amp;uu=/upload/window/REPORT/LGH-TW17-006.pdf","5등급"),HYPERLINK("http://www.lxhausys.co.kr/popup/rn/download/downloadPopup.jsp?from=plwindow&amp;uu=/upload/window/REPORT/LGH-TW17-006.pdf","등급외"))))))</f>
        <v>3등급</v>
      </c>
      <c r="L299" s="5">
        <v>1.4481999999999999</v>
      </c>
      <c r="M299" s="5" t="s">
        <v>150</v>
      </c>
      <c r="N299" s="5" t="s">
        <v>607</v>
      </c>
      <c r="O299" s="5" t="s">
        <v>19</v>
      </c>
      <c r="P299" s="5" t="s">
        <v>19</v>
      </c>
      <c r="Q299" s="5" t="s">
        <v>19</v>
      </c>
      <c r="R299" s="5" t="s">
        <v>19</v>
      </c>
      <c r="S299" s="5" t="s">
        <v>19</v>
      </c>
      <c r="T299" s="5" t="s">
        <v>19</v>
      </c>
      <c r="U299" s="5" t="s">
        <v>19</v>
      </c>
      <c r="V299" s="5" t="s">
        <v>19</v>
      </c>
      <c r="W299" s="5" t="s">
        <v>19</v>
      </c>
      <c r="X299" s="19">
        <f t="shared" si="2"/>
        <v>1.4481999999999999</v>
      </c>
    </row>
    <row r="300" spans="1:24">
      <c r="A300" t="s">
        <v>19</v>
      </c>
      <c r="B300" t="s">
        <v>138</v>
      </c>
      <c r="C300" t="s">
        <v>20</v>
      </c>
      <c r="D300" t="s">
        <v>25</v>
      </c>
      <c r="E300" t="s">
        <v>19</v>
      </c>
      <c r="F300" t="s">
        <v>19</v>
      </c>
      <c r="G300" t="s">
        <v>19</v>
      </c>
      <c r="H300" t="s">
        <v>53</v>
      </c>
      <c r="I300" t="s">
        <v>19</v>
      </c>
      <c r="J300" t="s">
        <v>97</v>
      </c>
      <c r="K300" s="21" t="str">
        <f>IF(X300&lt;=0.9,HYPERLINK("http://www.lxhausys.co.kr/popup/rn/download/downloadPopup.jsp?from=plwindow&amp;uu=/upload/window/REPORT/LGH-TW17-007.pdf","1등급"),IF(X300&lt;=1.2,HYPERLINK("http://www.lxhausys.co.kr/popup/rn/download/downloadPopup.jsp?from=plwindow&amp;uu=/upload/window/REPORT/LGH-TW17-007.pdf","2등급"),IF(X300&lt;=1.8,HYPERLINK("http://www.lxhausys.co.kr/popup/rn/download/downloadPopup.jsp?from=plwindow&amp;uu=/upload/window/REPORT/LGH-TW17-007.pdf","3등급"),IF(X300&lt;=2.3,HYPERLINK("http://www.lxhausys.co.kr/popup/rn/download/downloadPopup.jsp?from=plwindow&amp;uu=/upload/window/REPORT/LGH-TW17-007.pdf","4등급"),IF(X300&lt;=2.8,HYPERLINK("http://www.lxhausys.co.kr/popup/rn/download/downloadPopup.jsp?from=plwindow&amp;uu=/upload/window/REPORT/LGH-TW17-007.pdf","5등급"),HYPERLINK("http://www.lxhausys.co.kr/popup/rn/download/downloadPopup.jsp?from=plwindow&amp;uu=/upload/window/REPORT/LGH-TW17-007.pdf","등급외"))))))</f>
        <v>2등급</v>
      </c>
      <c r="L300" s="5">
        <v>0.91090000000000004</v>
      </c>
      <c r="M300" s="5" t="s">
        <v>22</v>
      </c>
      <c r="N300" s="5" t="s">
        <v>607</v>
      </c>
      <c r="O300" s="5" t="s">
        <v>19</v>
      </c>
      <c r="P300" s="5" t="s">
        <v>19</v>
      </c>
      <c r="Q300" s="5" t="s">
        <v>19</v>
      </c>
      <c r="R300" s="5" t="s">
        <v>19</v>
      </c>
      <c r="S300" s="5" t="s">
        <v>19</v>
      </c>
      <c r="T300" s="5" t="s">
        <v>19</v>
      </c>
      <c r="U300" s="5" t="s">
        <v>19</v>
      </c>
      <c r="V300" s="5" t="s">
        <v>19</v>
      </c>
      <c r="W300" s="5" t="s">
        <v>19</v>
      </c>
      <c r="X300" s="19">
        <f t="shared" si="2"/>
        <v>0.91090000000000004</v>
      </c>
    </row>
    <row r="301" spans="1:24">
      <c r="A301" t="s">
        <v>19</v>
      </c>
      <c r="B301" t="s">
        <v>138</v>
      </c>
      <c r="C301" t="s">
        <v>20</v>
      </c>
      <c r="D301" t="s">
        <v>68</v>
      </c>
      <c r="E301" t="s">
        <v>19</v>
      </c>
      <c r="F301" t="s">
        <v>19</v>
      </c>
      <c r="G301" t="s">
        <v>19</v>
      </c>
      <c r="H301" t="s">
        <v>68</v>
      </c>
      <c r="I301" t="s">
        <v>19</v>
      </c>
      <c r="J301" t="s">
        <v>74</v>
      </c>
      <c r="K301" s="21" t="str">
        <f>IF(X301&lt;=0.9,HYPERLINK("http://www.lxhausys.co.kr/popup/rn/download/downloadPopup.jsp?from=plwindow&amp;uu=/upload/window/REPORT/LGH-TW17-008.pdf","1등급"),IF(X301&lt;=1.2,HYPERLINK("http://www.lxhausys.co.kr/popup/rn/download/downloadPopup.jsp?from=plwindow&amp;uu=/upload/window/REPORT/LGH-TW17-008.pdf","2등급"),IF(X301&lt;=1.8,HYPERLINK("http://www.lxhausys.co.kr/popup/rn/download/downloadPopup.jsp?from=plwindow&amp;uu=/upload/window/REPORT/LGH-TW17-008.pdf","3등급"),IF(X301&lt;=2.3,HYPERLINK("http://www.lxhausys.co.kr/popup/rn/download/downloadPopup.jsp?from=plwindow&amp;uu=/upload/window/REPORT/LGH-TW17-008.pdf","4등급"),IF(X301&lt;=2.8,HYPERLINK("http://www.lxhausys.co.kr/popup/rn/download/downloadPopup.jsp?from=plwindow&amp;uu=/upload/window/REPORT/LGH-TW17-008.pdf","5등급"),HYPERLINK("http://www.lxhausys.co.kr/popup/rn/download/downloadPopup.jsp?from=plwindow&amp;uu=/upload/window/REPORT/LGH-TW17-008.pdf","등급외"))))))</f>
        <v>3등급</v>
      </c>
      <c r="L301" s="5">
        <v>1.2824</v>
      </c>
      <c r="M301" s="5" t="s">
        <v>103</v>
      </c>
      <c r="N301" s="5" t="s">
        <v>607</v>
      </c>
      <c r="O301" s="5" t="s">
        <v>19</v>
      </c>
      <c r="P301" s="5" t="s">
        <v>19</v>
      </c>
      <c r="Q301" s="5" t="s">
        <v>19</v>
      </c>
      <c r="R301" s="5" t="s">
        <v>19</v>
      </c>
      <c r="S301" s="5" t="s">
        <v>19</v>
      </c>
      <c r="T301" s="5" t="s">
        <v>19</v>
      </c>
      <c r="U301" s="5" t="s">
        <v>19</v>
      </c>
      <c r="V301" s="5" t="s">
        <v>19</v>
      </c>
      <c r="W301" s="5" t="s">
        <v>19</v>
      </c>
      <c r="X301" s="19">
        <f t="shared" si="2"/>
        <v>1.2824</v>
      </c>
    </row>
    <row r="302" spans="1:24">
      <c r="A302" t="s">
        <v>100</v>
      </c>
      <c r="B302" t="s">
        <v>19</v>
      </c>
      <c r="C302" t="s">
        <v>20</v>
      </c>
      <c r="D302" t="s">
        <v>68</v>
      </c>
      <c r="E302" t="s">
        <v>19</v>
      </c>
      <c r="F302" t="s">
        <v>19</v>
      </c>
      <c r="G302" t="s">
        <v>19</v>
      </c>
      <c r="H302" t="s">
        <v>68</v>
      </c>
      <c r="I302" t="s">
        <v>19</v>
      </c>
      <c r="J302" t="s">
        <v>74</v>
      </c>
      <c r="K302" s="21" t="str">
        <f>IF(X302&lt;=0.9,HYPERLINK("http://www.lxhausys.co.kr/popup/rn/download/downloadPopup.jsp?from=plwindow&amp;uu=/upload/window/REPORT/LGH-TW17-009.pdf","1등급"),IF(X302&lt;=1.2,HYPERLINK("http://www.lxhausys.co.kr/popup/rn/download/downloadPopup.jsp?from=plwindow&amp;uu=/upload/window/REPORT/LGH-TW17-009.pdf","2등급"),IF(X302&lt;=1.8,HYPERLINK("http://www.lxhausys.co.kr/popup/rn/download/downloadPopup.jsp?from=plwindow&amp;uu=/upload/window/REPORT/LGH-TW17-009.pdf","3등급"),IF(X302&lt;=2.3,HYPERLINK("http://www.lxhausys.co.kr/popup/rn/download/downloadPopup.jsp?from=plwindow&amp;uu=/upload/window/REPORT/LGH-TW17-009.pdf","4등급"),IF(X302&lt;=2.8,HYPERLINK("http://www.lxhausys.co.kr/popup/rn/download/downloadPopup.jsp?from=plwindow&amp;uu=/upload/window/REPORT/LGH-TW17-009.pdf","5등급"),HYPERLINK("http://www.lxhausys.co.kr/popup/rn/download/downloadPopup.jsp?from=plwindow&amp;uu=/upload/window/REPORT/LGH-TW17-009.pdf","등급외"))))))</f>
        <v>3등급</v>
      </c>
      <c r="L302" s="5">
        <v>1.2766999999999999</v>
      </c>
      <c r="M302" s="5" t="s">
        <v>103</v>
      </c>
      <c r="N302" s="5" t="s">
        <v>607</v>
      </c>
      <c r="O302" s="5" t="s">
        <v>19</v>
      </c>
      <c r="P302" s="5" t="s">
        <v>19</v>
      </c>
      <c r="Q302" s="5" t="s">
        <v>19</v>
      </c>
      <c r="R302" s="5" t="s">
        <v>19</v>
      </c>
      <c r="S302" s="5" t="s">
        <v>19</v>
      </c>
      <c r="T302" s="5" t="s">
        <v>19</v>
      </c>
      <c r="U302" s="5" t="s">
        <v>19</v>
      </c>
      <c r="V302" s="5" t="s">
        <v>19</v>
      </c>
      <c r="W302" s="5" t="s">
        <v>19</v>
      </c>
      <c r="X302" s="19">
        <f t="shared" si="2"/>
        <v>1.2766999999999999</v>
      </c>
    </row>
    <row r="303" spans="1:24">
      <c r="A303" t="s">
        <v>19</v>
      </c>
      <c r="B303" t="s">
        <v>142</v>
      </c>
      <c r="C303" t="s">
        <v>20</v>
      </c>
      <c r="D303" t="s">
        <v>53</v>
      </c>
      <c r="E303" t="s">
        <v>19</v>
      </c>
      <c r="F303" t="s">
        <v>19</v>
      </c>
      <c r="G303" t="s">
        <v>19</v>
      </c>
      <c r="H303" t="s">
        <v>19</v>
      </c>
      <c r="I303" t="s">
        <v>19</v>
      </c>
      <c r="J303" t="s">
        <v>97</v>
      </c>
      <c r="K303" s="21" t="str">
        <f>IF(X303&lt;=0.9,HYPERLINK("http://www.lxhausys.co.kr/popup/rn/download/downloadPopup.jsp?from=plwindow&amp;uu=/upload/window/REPORT/LGH-TW17-010.pdf","1등급"),IF(X303&lt;=1.2,HYPERLINK("http://www.lxhausys.co.kr/popup/rn/download/downloadPopup.jsp?from=plwindow&amp;uu=/upload/window/REPORT/LGH-TW17-010.pdf","2등급"),IF(X303&lt;=1.8,HYPERLINK("http://www.lxhausys.co.kr/popup/rn/download/downloadPopup.jsp?from=plwindow&amp;uu=/upload/window/REPORT/LGH-TW17-010.pdf","3등급"),IF(X303&lt;=2.3,HYPERLINK("http://www.lxhausys.co.kr/popup/rn/download/downloadPopup.jsp?from=plwindow&amp;uu=/upload/window/REPORT/LGH-TW17-010.pdf","4등급"),IF(X303&lt;=2.8,HYPERLINK("http://www.lxhausys.co.kr/popup/rn/download/downloadPopup.jsp?from=plwindow&amp;uu=/upload/window/REPORT/LGH-TW17-010.pdf","5등급"),HYPERLINK("http://www.lxhausys.co.kr/popup/rn/download/downloadPopup.jsp?from=plwindow&amp;uu=/upload/window/REPORT/LGH-TW17-010.pdf","등급외"))))))</f>
        <v>3등급</v>
      </c>
      <c r="L303" s="5">
        <v>1.7538</v>
      </c>
      <c r="M303" s="5" t="s">
        <v>150</v>
      </c>
      <c r="N303" s="5" t="s">
        <v>607</v>
      </c>
      <c r="O303" s="5" t="s">
        <v>19</v>
      </c>
      <c r="P303" s="5" t="s">
        <v>19</v>
      </c>
      <c r="Q303" s="5" t="s">
        <v>19</v>
      </c>
      <c r="R303" s="5" t="s">
        <v>19</v>
      </c>
      <c r="S303" s="5" t="s">
        <v>19</v>
      </c>
      <c r="T303" s="5" t="s">
        <v>19</v>
      </c>
      <c r="U303" s="5" t="s">
        <v>19</v>
      </c>
      <c r="V303" s="5" t="s">
        <v>19</v>
      </c>
      <c r="W303" s="5" t="s">
        <v>19</v>
      </c>
      <c r="X303" s="19">
        <f t="shared" si="2"/>
        <v>1.7538</v>
      </c>
    </row>
    <row r="304" spans="1:24">
      <c r="A304" t="s">
        <v>44</v>
      </c>
      <c r="B304" t="s">
        <v>19</v>
      </c>
      <c r="C304" t="s">
        <v>31</v>
      </c>
      <c r="D304" t="s">
        <v>151</v>
      </c>
      <c r="E304" t="s">
        <v>19</v>
      </c>
      <c r="F304" t="s">
        <v>19</v>
      </c>
      <c r="G304" t="s">
        <v>19</v>
      </c>
      <c r="H304" t="s">
        <v>19</v>
      </c>
      <c r="I304" t="s">
        <v>19</v>
      </c>
      <c r="J304" t="s">
        <v>19</v>
      </c>
      <c r="K304" s="21" t="s">
        <v>607</v>
      </c>
      <c r="L304" s="5" t="s">
        <v>19</v>
      </c>
      <c r="M304" s="5" t="s">
        <v>19</v>
      </c>
      <c r="N304" s="5" t="s">
        <v>19</v>
      </c>
      <c r="O304" s="5" t="str">
        <f>HYPERLINK("http://www.lghausys.co.kr/popup/rn/download/downloadPopup.jsp?from=plwindow&amp;uu=/upload/window/REPORT/LGH-WA12-008.pdf","2등급")</f>
        <v>2등급</v>
      </c>
      <c r="P304" s="5" t="s">
        <v>19</v>
      </c>
      <c r="Q304" s="5" t="s">
        <v>19</v>
      </c>
      <c r="R304" s="5" t="s">
        <v>19</v>
      </c>
      <c r="S304" s="5" t="s">
        <v>19</v>
      </c>
      <c r="T304" s="5" t="s">
        <v>19</v>
      </c>
      <c r="U304" s="5" t="s">
        <v>19</v>
      </c>
      <c r="V304" s="5" t="s">
        <v>19</v>
      </c>
      <c r="W304" s="5" t="s">
        <v>152</v>
      </c>
      <c r="X304" s="5">
        <v>0.96200000000000008</v>
      </c>
    </row>
    <row r="305" spans="1:24">
      <c r="A305" t="s">
        <v>30</v>
      </c>
      <c r="B305" t="s">
        <v>19</v>
      </c>
      <c r="C305" t="s">
        <v>31</v>
      </c>
      <c r="D305" t="s">
        <v>25</v>
      </c>
      <c r="E305" t="s">
        <v>19</v>
      </c>
      <c r="F305" t="s">
        <v>19</v>
      </c>
      <c r="G305" t="s">
        <v>19</v>
      </c>
      <c r="H305" t="s">
        <v>41</v>
      </c>
      <c r="I305" t="s">
        <v>19</v>
      </c>
      <c r="J305" t="s">
        <v>19</v>
      </c>
      <c r="K305" s="21" t="s">
        <v>607</v>
      </c>
      <c r="L305" s="5" t="s">
        <v>19</v>
      </c>
      <c r="M305" s="5" t="s">
        <v>19</v>
      </c>
      <c r="N305" s="5" t="s">
        <v>19</v>
      </c>
      <c r="O305" s="5" t="s">
        <v>19</v>
      </c>
      <c r="P305" s="5" t="str">
        <f>HYPERLINK("http://www.lghausys.co.kr/popup/rn/download/downloadPopup.jsp?from=plwindow&amp;uu=/upload/window/REPORT/LGH-WA12-024.pdf","50등급")</f>
        <v>50등급</v>
      </c>
      <c r="Q305" s="5" t="str">
        <f>HYPERLINK("http://www.lghausys.co.kr/popup/rn/download/downloadPopup.jsp?from=plwindow&amp;uu=/upload/window/REPORT/LGH-WA12-024.pdf","360등급")</f>
        <v>360등급</v>
      </c>
      <c r="R305" s="5" t="s">
        <v>19</v>
      </c>
      <c r="S305" s="5" t="s">
        <v>19</v>
      </c>
      <c r="T305" s="5" t="s">
        <v>19</v>
      </c>
      <c r="U305" s="5" t="s">
        <v>19</v>
      </c>
      <c r="V305" s="5" t="s">
        <v>19</v>
      </c>
      <c r="W305" s="5" t="s">
        <v>152</v>
      </c>
      <c r="X305" s="5">
        <v>2.1739999999999999</v>
      </c>
    </row>
    <row r="306" spans="1:24">
      <c r="A306" t="s">
        <v>27</v>
      </c>
      <c r="B306" t="s">
        <v>19</v>
      </c>
      <c r="C306" t="s">
        <v>31</v>
      </c>
      <c r="D306" t="s">
        <v>32</v>
      </c>
      <c r="E306" t="s">
        <v>33</v>
      </c>
      <c r="F306" t="s">
        <v>19</v>
      </c>
      <c r="G306" t="s">
        <v>19</v>
      </c>
      <c r="H306" t="s">
        <v>25</v>
      </c>
      <c r="I306" t="s">
        <v>19</v>
      </c>
      <c r="J306" t="s">
        <v>19</v>
      </c>
      <c r="K306" s="21" t="s">
        <v>607</v>
      </c>
      <c r="L306" s="5" t="s">
        <v>19</v>
      </c>
      <c r="M306" s="5" t="s">
        <v>19</v>
      </c>
      <c r="N306" s="5" t="s">
        <v>19</v>
      </c>
      <c r="O306" s="5" t="str">
        <f>HYPERLINK("http://www.lghausys.co.kr/popup/rn/download/downloadPopup.jsp?from=plwindow&amp;uu=/upload/window/REPORT/LGH-WA12-026.pdf","2등급")</f>
        <v>2등급</v>
      </c>
      <c r="P306" s="5" t="str">
        <f>HYPERLINK("http://www.lghausys.co.kr/popup/rn/download/downloadPopup.jsp?from=plwindow&amp;uu=/upload/window/REPORT/LGH-WA12-026.pdf","50등급")</f>
        <v>50등급</v>
      </c>
      <c r="Q306" s="5" t="str">
        <f>HYPERLINK("http://www.lghausys.co.kr/popup/rn/download/downloadPopup.jsp?from=plwindow&amp;uu=/upload/window/REPORT/LGH-WA12-026.pdf","350등급")</f>
        <v>350등급</v>
      </c>
      <c r="R306" s="5" t="s">
        <v>19</v>
      </c>
      <c r="S306" s="5" t="s">
        <v>19</v>
      </c>
      <c r="T306" s="5" t="s">
        <v>19</v>
      </c>
      <c r="U306" s="5" t="s">
        <v>19</v>
      </c>
      <c r="V306" s="5" t="s">
        <v>19</v>
      </c>
      <c r="W306" s="5" t="s">
        <v>152</v>
      </c>
      <c r="X306" s="5">
        <v>2.0659999999999998</v>
      </c>
    </row>
    <row r="307" spans="1:24">
      <c r="A307" t="s">
        <v>78</v>
      </c>
      <c r="B307" t="s">
        <v>19</v>
      </c>
      <c r="C307" t="s">
        <v>31</v>
      </c>
      <c r="D307" t="s">
        <v>32</v>
      </c>
      <c r="E307" t="s">
        <v>33</v>
      </c>
      <c r="F307" t="s">
        <v>19</v>
      </c>
      <c r="G307" t="s">
        <v>19</v>
      </c>
      <c r="H307" t="s">
        <v>19</v>
      </c>
      <c r="I307" t="s">
        <v>19</v>
      </c>
      <c r="J307" t="s">
        <v>19</v>
      </c>
      <c r="K307" s="21" t="s">
        <v>607</v>
      </c>
      <c r="L307" s="5" t="s">
        <v>19</v>
      </c>
      <c r="M307" s="5" t="s">
        <v>19</v>
      </c>
      <c r="N307" s="5" t="s">
        <v>19</v>
      </c>
      <c r="O307" s="5" t="str">
        <f>HYPERLINK("http://www.lghausys.co.kr/popup/rn/download/downloadPopup.jsp?from=plwindow&amp;uu=/upload/window/REPORT/LGH-WA12-027.pdf","2등급")</f>
        <v>2등급</v>
      </c>
      <c r="P307" s="5" t="str">
        <f>HYPERLINK("http://www.lghausys.co.kr/popup/rn/download/downloadPopup.jsp?from=plwindow&amp;uu=/upload/window/REPORT/LGH-WA12-027.pdf","35등급")</f>
        <v>35등급</v>
      </c>
      <c r="Q307" s="5" t="str">
        <f>HYPERLINK("http://www.lghausys.co.kr/popup/rn/download/downloadPopup.jsp?from=plwindow&amp;uu=/upload/window/REPORT/LGH-WA12-027.pdf","350등급")</f>
        <v>350등급</v>
      </c>
      <c r="R307" s="5" t="s">
        <v>19</v>
      </c>
      <c r="S307" s="5" t="s">
        <v>19</v>
      </c>
      <c r="T307" s="5" t="s">
        <v>19</v>
      </c>
      <c r="U307" s="5" t="s">
        <v>19</v>
      </c>
      <c r="V307" s="5" t="s">
        <v>19</v>
      </c>
      <c r="W307" s="5" t="s">
        <v>152</v>
      </c>
      <c r="X307" s="5">
        <v>0.85799999999999998</v>
      </c>
    </row>
    <row r="308" spans="1:24">
      <c r="A308" t="s">
        <v>19</v>
      </c>
      <c r="B308" t="s">
        <v>49</v>
      </c>
      <c r="C308" t="s">
        <v>31</v>
      </c>
      <c r="D308" t="s">
        <v>25</v>
      </c>
      <c r="E308" t="s">
        <v>19</v>
      </c>
      <c r="F308" t="s">
        <v>19</v>
      </c>
      <c r="G308" t="s">
        <v>19</v>
      </c>
      <c r="H308" t="s">
        <v>19</v>
      </c>
      <c r="I308" t="s">
        <v>19</v>
      </c>
      <c r="J308" t="s">
        <v>19</v>
      </c>
      <c r="K308" s="21" t="s">
        <v>607</v>
      </c>
      <c r="L308" s="5" t="s">
        <v>19</v>
      </c>
      <c r="M308" s="5" t="s">
        <v>19</v>
      </c>
      <c r="N308" s="5" t="s">
        <v>19</v>
      </c>
      <c r="O308" s="5" t="str">
        <f>HYPERLINK("http://www.lghausys.co.kr/popup/rn/download/downloadPopup.jsp?from=plwindow&amp;uu=/upload/window/REPORT/LGH-WA13-006.pdf","2등급")</f>
        <v>2등급</v>
      </c>
      <c r="P308" s="5" t="s">
        <v>19</v>
      </c>
      <c r="Q308" s="5" t="s">
        <v>19</v>
      </c>
      <c r="R308" s="5" t="s">
        <v>19</v>
      </c>
      <c r="S308" s="5" t="s">
        <v>19</v>
      </c>
      <c r="T308" s="5" t="s">
        <v>19</v>
      </c>
      <c r="U308" s="5" t="s">
        <v>19</v>
      </c>
      <c r="V308" s="5" t="s">
        <v>19</v>
      </c>
      <c r="W308" s="5" t="s">
        <v>152</v>
      </c>
      <c r="X308" s="5">
        <v>0.8590000000000001</v>
      </c>
    </row>
    <row r="309" spans="1:24">
      <c r="A309" t="s">
        <v>19</v>
      </c>
      <c r="B309" t="s">
        <v>49</v>
      </c>
      <c r="C309" t="s">
        <v>31</v>
      </c>
      <c r="D309" t="s">
        <v>28</v>
      </c>
      <c r="E309" t="s">
        <v>19</v>
      </c>
      <c r="F309" t="s">
        <v>19</v>
      </c>
      <c r="G309" t="s">
        <v>19</v>
      </c>
      <c r="H309" t="s">
        <v>19</v>
      </c>
      <c r="I309" t="s">
        <v>19</v>
      </c>
      <c r="J309" t="s">
        <v>19</v>
      </c>
      <c r="K309" s="21" t="s">
        <v>607</v>
      </c>
      <c r="L309" s="5" t="s">
        <v>19</v>
      </c>
      <c r="M309" s="5" t="s">
        <v>19</v>
      </c>
      <c r="N309" s="5" t="s">
        <v>19</v>
      </c>
      <c r="O309" s="5" t="s">
        <v>19</v>
      </c>
      <c r="P309" s="5" t="str">
        <f>HYPERLINK("http://www.lghausys.co.kr/popup/rn/download/downloadPopup.jsp?from=plwindow&amp;uu=/upload/window/REPORT/LGH-WA13-007.pdf","10등급")</f>
        <v>10등급</v>
      </c>
      <c r="Q309" s="5" t="s">
        <v>19</v>
      </c>
      <c r="R309" s="5" t="s">
        <v>19</v>
      </c>
      <c r="S309" s="5" t="s">
        <v>19</v>
      </c>
      <c r="T309" s="5" t="s">
        <v>19</v>
      </c>
      <c r="U309" s="5" t="s">
        <v>19</v>
      </c>
      <c r="V309" s="5" t="s">
        <v>19</v>
      </c>
      <c r="W309" s="5" t="s">
        <v>152</v>
      </c>
      <c r="X309" s="5">
        <v>0.83299999999999996</v>
      </c>
    </row>
    <row r="310" spans="1:24">
      <c r="A310" t="s">
        <v>19</v>
      </c>
      <c r="B310" t="s">
        <v>48</v>
      </c>
      <c r="C310" t="s">
        <v>31</v>
      </c>
      <c r="D310" t="s">
        <v>28</v>
      </c>
      <c r="E310" t="s">
        <v>19</v>
      </c>
      <c r="F310" t="s">
        <v>19</v>
      </c>
      <c r="G310" t="s">
        <v>19</v>
      </c>
      <c r="H310" t="s">
        <v>25</v>
      </c>
      <c r="I310" t="s">
        <v>19</v>
      </c>
      <c r="J310" t="s">
        <v>19</v>
      </c>
      <c r="K310" s="21" t="s">
        <v>607</v>
      </c>
      <c r="L310" s="5" t="s">
        <v>19</v>
      </c>
      <c r="M310" s="5" t="s">
        <v>19</v>
      </c>
      <c r="N310" s="5" t="s">
        <v>19</v>
      </c>
      <c r="O310" s="5" t="s">
        <v>19</v>
      </c>
      <c r="P310" s="5" t="str">
        <f>HYPERLINK("http://www.lghausys.co.kr/popup/rn/download/downloadPopup.jsp?from=plwindow&amp;uu=/upload/window/REPORT/LGH-WA13-009.pdf","35등급")</f>
        <v>35등급</v>
      </c>
      <c r="Q310" s="5" t="s">
        <v>19</v>
      </c>
      <c r="R310" s="5" t="s">
        <v>19</v>
      </c>
      <c r="S310" s="5" t="s">
        <v>19</v>
      </c>
      <c r="T310" s="5" t="s">
        <v>19</v>
      </c>
      <c r="U310" s="5" t="s">
        <v>19</v>
      </c>
      <c r="V310" s="5" t="s">
        <v>19</v>
      </c>
      <c r="W310" s="5" t="s">
        <v>152</v>
      </c>
      <c r="X310" s="5">
        <v>2.2269999999999999</v>
      </c>
    </row>
    <row r="311" spans="1:24">
      <c r="A311" t="s">
        <v>18</v>
      </c>
      <c r="B311" t="s">
        <v>19</v>
      </c>
      <c r="C311" t="s">
        <v>31</v>
      </c>
      <c r="D311" t="s">
        <v>21</v>
      </c>
      <c r="E311" t="s">
        <v>19</v>
      </c>
      <c r="F311" t="s">
        <v>19</v>
      </c>
      <c r="G311" t="s">
        <v>19</v>
      </c>
      <c r="H311" t="s">
        <v>19</v>
      </c>
      <c r="I311" t="s">
        <v>19</v>
      </c>
      <c r="J311" t="s">
        <v>19</v>
      </c>
      <c r="K311" s="21" t="s">
        <v>607</v>
      </c>
      <c r="L311" s="5" t="s">
        <v>19</v>
      </c>
      <c r="M311" s="5" t="s">
        <v>19</v>
      </c>
      <c r="N311" s="5" t="s">
        <v>19</v>
      </c>
      <c r="O311" s="5" t="s">
        <v>19</v>
      </c>
      <c r="P311" s="5" t="str">
        <f>HYPERLINK("http://www.lghausys.co.kr/popup/rn/download/downloadPopup.jsp?from=plwindow&amp;uu=/upload/window/REPORT/LGH-WA13-018.pdf","35등급")</f>
        <v>35등급</v>
      </c>
      <c r="Q311" s="5" t="str">
        <f>HYPERLINK("http://www.lghausys.co.kr/popup/rn/download/downloadPopup.jsp?from=plwindow&amp;uu=/upload/window/REPORT/LGH-WA13-018.pdf","250등급")</f>
        <v>250등급</v>
      </c>
      <c r="R311" s="5" t="s">
        <v>19</v>
      </c>
      <c r="S311" s="5" t="s">
        <v>19</v>
      </c>
      <c r="T311" s="5" t="s">
        <v>19</v>
      </c>
      <c r="U311" s="5" t="s">
        <v>19</v>
      </c>
      <c r="V311" s="5" t="s">
        <v>19</v>
      </c>
      <c r="W311" s="5" t="s">
        <v>152</v>
      </c>
      <c r="X311" s="5">
        <v>2.165</v>
      </c>
    </row>
    <row r="312" spans="1:24">
      <c r="A312" t="s">
        <v>18</v>
      </c>
      <c r="B312" t="s">
        <v>19</v>
      </c>
      <c r="C312" t="s">
        <v>31</v>
      </c>
      <c r="D312" t="s">
        <v>21</v>
      </c>
      <c r="E312" t="s">
        <v>19</v>
      </c>
      <c r="F312" t="s">
        <v>19</v>
      </c>
      <c r="G312" t="s">
        <v>19</v>
      </c>
      <c r="H312" t="s">
        <v>19</v>
      </c>
      <c r="I312" t="s">
        <v>19</v>
      </c>
      <c r="J312" t="s">
        <v>19</v>
      </c>
      <c r="K312" s="21" t="s">
        <v>607</v>
      </c>
      <c r="L312" s="5" t="s">
        <v>19</v>
      </c>
      <c r="M312" s="5" t="s">
        <v>19</v>
      </c>
      <c r="N312" s="5" t="s">
        <v>19</v>
      </c>
      <c r="O312" s="5" t="str">
        <f>HYPERLINK("http://www.lghausys.co.kr/popup/rn/download/downloadPopup.jsp?from=plwindow&amp;uu=/upload/window/REPORT/LGH-WA13-032.pdf","2등급")</f>
        <v>2등급</v>
      </c>
      <c r="P312" s="5" t="str">
        <f>HYPERLINK("http://www.lghausys.co.kr/popup/rn/download/downloadPopup.jsp?from=plwindow&amp;uu=/upload/window/REPORT/LGH-WA13-032.pdf","50등급")</f>
        <v>50등급</v>
      </c>
      <c r="Q312" s="5" t="str">
        <f>HYPERLINK("http://www.lghausys.co.kr/popup/rn/download/downloadPopup.jsp?from=plwindow&amp;uu=/upload/window/REPORT/LGH-WA13-032.pdf","160등급")</f>
        <v>160등급</v>
      </c>
      <c r="R312" s="5" t="s">
        <v>19</v>
      </c>
      <c r="S312" s="5" t="s">
        <v>19</v>
      </c>
      <c r="T312" s="5" t="s">
        <v>19</v>
      </c>
      <c r="U312" s="5" t="s">
        <v>19</v>
      </c>
      <c r="V312" s="5" t="s">
        <v>19</v>
      </c>
      <c r="W312" s="5" t="s">
        <v>152</v>
      </c>
      <c r="X312" s="5">
        <v>2.1930000000000001</v>
      </c>
    </row>
    <row r="313" spans="1:24">
      <c r="A313" t="s">
        <v>27</v>
      </c>
      <c r="B313" t="s">
        <v>19</v>
      </c>
      <c r="C313" t="s">
        <v>31</v>
      </c>
      <c r="D313" t="s">
        <v>28</v>
      </c>
      <c r="E313" t="s">
        <v>29</v>
      </c>
      <c r="F313" t="s">
        <v>19</v>
      </c>
      <c r="G313" t="s">
        <v>19</v>
      </c>
      <c r="H313" t="s">
        <v>25</v>
      </c>
      <c r="I313" t="s">
        <v>19</v>
      </c>
      <c r="J313" t="s">
        <v>19</v>
      </c>
      <c r="K313" s="21" t="s">
        <v>607</v>
      </c>
      <c r="L313" s="5" t="s">
        <v>19</v>
      </c>
      <c r="M313" s="5" t="s">
        <v>19</v>
      </c>
      <c r="N313" s="5" t="s">
        <v>19</v>
      </c>
      <c r="O313" s="5" t="str">
        <f>HYPERLINK("http://www.lghausys.co.kr/popup/rn/download/downloadPopup.jsp?from=plwindow&amp;uu=/upload/window/REPORT/LGH-WA13-039.pdf","2등급")</f>
        <v>2등급</v>
      </c>
      <c r="P313" s="5" t="str">
        <f>HYPERLINK("http://www.lghausys.co.kr/popup/rn/download/downloadPopup.jsp?from=plwindow&amp;uu=/upload/window/REPORT/LGH-WA13-039.pdf","35등급")</f>
        <v>35등급</v>
      </c>
      <c r="Q313" s="5" t="str">
        <f>HYPERLINK("http://www.lghausys.co.kr/popup/rn/download/downloadPopup.jsp?from=plwindow&amp;uu=/upload/window/REPORT/LGH-WA13-039.pdf","240등급")</f>
        <v>240등급</v>
      </c>
      <c r="R313" s="5" t="s">
        <v>19</v>
      </c>
      <c r="S313" s="5" t="s">
        <v>19</v>
      </c>
      <c r="T313" s="5" t="s">
        <v>19</v>
      </c>
      <c r="U313" s="5" t="s">
        <v>19</v>
      </c>
      <c r="V313" s="5" t="s">
        <v>19</v>
      </c>
      <c r="W313" s="5" t="s">
        <v>153</v>
      </c>
      <c r="X313" s="5">
        <v>2.0529999999999999</v>
      </c>
    </row>
    <row r="314" spans="1:24">
      <c r="A314" t="s">
        <v>122</v>
      </c>
      <c r="B314" t="s">
        <v>19</v>
      </c>
      <c r="C314" t="s">
        <v>31</v>
      </c>
      <c r="D314" t="s">
        <v>68</v>
      </c>
      <c r="E314" t="s">
        <v>19</v>
      </c>
      <c r="F314" t="s">
        <v>19</v>
      </c>
      <c r="G314" t="s">
        <v>19</v>
      </c>
      <c r="H314" t="s">
        <v>66</v>
      </c>
      <c r="I314" t="s">
        <v>19</v>
      </c>
      <c r="J314" t="s">
        <v>19</v>
      </c>
      <c r="K314" s="21" t="s">
        <v>607</v>
      </c>
      <c r="L314" s="5" t="s">
        <v>19</v>
      </c>
      <c r="M314" s="5" t="s">
        <v>19</v>
      </c>
      <c r="N314" s="5" t="s">
        <v>19</v>
      </c>
      <c r="O314" s="5" t="s">
        <v>19</v>
      </c>
      <c r="P314" s="5" t="str">
        <f>HYPERLINK("http://www.lghausys.co.kr/popup/rn/download/downloadPopup.jsp?from=plwindow&amp;uu=/upload/window/REPORT/LGH-WA13-040.pdf","50등급")</f>
        <v>50등급</v>
      </c>
      <c r="Q314" s="5" t="str">
        <f>HYPERLINK("http://www.lghausys.co.kr/popup/rn/download/downloadPopup.jsp?from=plwindow&amp;uu=/upload/window/REPORT/LGH-WA13-040.pdf","400등급")</f>
        <v>400등급</v>
      </c>
      <c r="R314" s="5" t="s">
        <v>19</v>
      </c>
      <c r="S314" s="5" t="s">
        <v>19</v>
      </c>
      <c r="T314" s="5" t="s">
        <v>19</v>
      </c>
      <c r="U314" s="5" t="s">
        <v>19</v>
      </c>
      <c r="V314" s="5" t="s">
        <v>19</v>
      </c>
      <c r="W314" s="5" t="s">
        <v>152</v>
      </c>
      <c r="X314" s="5">
        <v>0.83499999999999996</v>
      </c>
    </row>
    <row r="315" spans="1:24">
      <c r="A315" t="s">
        <v>122</v>
      </c>
      <c r="B315" t="s">
        <v>19</v>
      </c>
      <c r="C315" t="s">
        <v>31</v>
      </c>
      <c r="D315" t="s">
        <v>32</v>
      </c>
      <c r="E315" t="s">
        <v>19</v>
      </c>
      <c r="F315" t="s">
        <v>19</v>
      </c>
      <c r="G315" t="s">
        <v>19</v>
      </c>
      <c r="H315" t="s">
        <v>89</v>
      </c>
      <c r="I315" t="s">
        <v>19</v>
      </c>
      <c r="J315" t="s">
        <v>19</v>
      </c>
      <c r="K315" s="21" t="s">
        <v>607</v>
      </c>
      <c r="L315" s="5" t="s">
        <v>19</v>
      </c>
      <c r="M315" s="5" t="s">
        <v>19</v>
      </c>
      <c r="N315" s="5" t="s">
        <v>19</v>
      </c>
      <c r="O315" s="5" t="s">
        <v>19</v>
      </c>
      <c r="P315" s="5" t="str">
        <f>HYPERLINK("http://www.lghausys.co.kr/popup/rn/download/downloadPopup.jsp?from=plwindow&amp;uu=/upload/window/REPORT/LGH-WA13-041.pdf","50등급")</f>
        <v>50등급</v>
      </c>
      <c r="Q315" s="5" t="str">
        <f>HYPERLINK("http://www.lghausys.co.kr/popup/rn/download/downloadPopup.jsp?from=plwindow&amp;uu=/upload/window/REPORT/LGH-WA13-041.pdf","400등급")</f>
        <v>400등급</v>
      </c>
      <c r="R315" s="5" t="s">
        <v>19</v>
      </c>
      <c r="S315" s="5" t="s">
        <v>19</v>
      </c>
      <c r="T315" s="5" t="s">
        <v>19</v>
      </c>
      <c r="U315" s="5" t="s">
        <v>19</v>
      </c>
      <c r="V315" s="5" t="s">
        <v>19</v>
      </c>
      <c r="W315" s="5" t="s">
        <v>152</v>
      </c>
      <c r="X315" s="5">
        <v>0.94400000000000006</v>
      </c>
    </row>
    <row r="316" spans="1:24">
      <c r="A316" t="s">
        <v>23</v>
      </c>
      <c r="B316" t="s">
        <v>19</v>
      </c>
      <c r="C316" t="s">
        <v>31</v>
      </c>
      <c r="D316" t="s">
        <v>25</v>
      </c>
      <c r="E316" t="s">
        <v>19</v>
      </c>
      <c r="F316" t="s">
        <v>19</v>
      </c>
      <c r="G316" t="s">
        <v>19</v>
      </c>
      <c r="H316" t="s">
        <v>26</v>
      </c>
      <c r="I316" t="s">
        <v>19</v>
      </c>
      <c r="J316" t="s">
        <v>19</v>
      </c>
      <c r="K316" s="21" t="s">
        <v>607</v>
      </c>
      <c r="L316" s="5" t="s">
        <v>19</v>
      </c>
      <c r="M316" s="5" t="s">
        <v>19</v>
      </c>
      <c r="N316" s="5" t="s">
        <v>19</v>
      </c>
      <c r="O316" s="5" t="str">
        <f>HYPERLINK("http://www.lghausys.co.kr/popup/rn/download/downloadPopup.jsp?from=plwindow&amp;uu=/upload/window/REPORT/LGH-WA13-044.pdf","2등급")</f>
        <v>2등급</v>
      </c>
      <c r="P316" s="5" t="str">
        <f>HYPERLINK("http://www.lghausys.co.kr/popup/rn/download/downloadPopup.jsp?from=plwindow&amp;uu=/upload/window/REPORT/LGH-WA13-044.pdf","50등급")</f>
        <v>50등급</v>
      </c>
      <c r="Q316" s="5" t="str">
        <f>HYPERLINK("http://www.lghausys.co.kr/popup/rn/download/downloadPopup.jsp?from=plwindow&amp;uu=/upload/window/REPORT/LGH-WA13-044.pdf","300등급")</f>
        <v>300등급</v>
      </c>
      <c r="R316" s="5" t="s">
        <v>19</v>
      </c>
      <c r="S316" s="5" t="s">
        <v>19</v>
      </c>
      <c r="T316" s="5" t="s">
        <v>19</v>
      </c>
      <c r="U316" s="5" t="s">
        <v>19</v>
      </c>
      <c r="V316" s="5" t="s">
        <v>19</v>
      </c>
      <c r="W316" s="5" t="s">
        <v>152</v>
      </c>
      <c r="X316" s="5">
        <v>0.83299999999999996</v>
      </c>
    </row>
    <row r="317" spans="1:24">
      <c r="A317" t="s">
        <v>119</v>
      </c>
      <c r="B317" t="s">
        <v>19</v>
      </c>
      <c r="C317" t="s">
        <v>31</v>
      </c>
      <c r="D317" t="s">
        <v>28</v>
      </c>
      <c r="E317" t="s">
        <v>96</v>
      </c>
      <c r="F317" t="s">
        <v>19</v>
      </c>
      <c r="G317" t="s">
        <v>19</v>
      </c>
      <c r="H317" t="s">
        <v>26</v>
      </c>
      <c r="I317" t="s">
        <v>19</v>
      </c>
      <c r="J317" t="s">
        <v>19</v>
      </c>
      <c r="K317" s="21" t="s">
        <v>607</v>
      </c>
      <c r="L317" s="5" t="s">
        <v>19</v>
      </c>
      <c r="M317" s="5" t="s">
        <v>19</v>
      </c>
      <c r="N317" s="5" t="s">
        <v>19</v>
      </c>
      <c r="O317" s="5" t="str">
        <f>HYPERLINK("http://www.lghausys.co.kr/popup/rn/download/downloadPopup.jsp?from=plwindow&amp;uu=/upload/window/REPORT/LGH-WA13-049.pdf","2등급")</f>
        <v>2등급</v>
      </c>
      <c r="P317" s="5" t="str">
        <f>HYPERLINK("http://www.lghausys.co.kr/popup/rn/download/downloadPopup.jsp?from=plwindow&amp;uu=/upload/window/REPORT/LGH-WA13-049.pdf","50등급")</f>
        <v>50등급</v>
      </c>
      <c r="Q317" s="5" t="str">
        <f>HYPERLINK("http://www.lghausys.co.kr/popup/rn/download/downloadPopup.jsp?from=plwindow&amp;uu=/upload/window/REPORT/LGH-WA13-049.pdf","400등급")</f>
        <v>400등급</v>
      </c>
      <c r="R317" s="5" t="s">
        <v>19</v>
      </c>
      <c r="S317" s="5" t="s">
        <v>19</v>
      </c>
      <c r="T317" s="5" t="s">
        <v>19</v>
      </c>
      <c r="U317" s="5" t="s">
        <v>19</v>
      </c>
      <c r="V317" s="5" t="s">
        <v>19</v>
      </c>
      <c r="W317" s="5" t="s">
        <v>152</v>
      </c>
      <c r="X317" s="5">
        <v>0.93599999999999994</v>
      </c>
    </row>
    <row r="318" spans="1:24">
      <c r="A318" t="s">
        <v>119</v>
      </c>
      <c r="B318" t="s">
        <v>19</v>
      </c>
      <c r="C318" t="s">
        <v>31</v>
      </c>
      <c r="D318" t="s">
        <v>28</v>
      </c>
      <c r="E318" t="s">
        <v>96</v>
      </c>
      <c r="F318" t="s">
        <v>19</v>
      </c>
      <c r="G318" t="s">
        <v>19</v>
      </c>
      <c r="H318" t="s">
        <v>120</v>
      </c>
      <c r="I318" t="s">
        <v>19</v>
      </c>
      <c r="J318" t="s">
        <v>19</v>
      </c>
      <c r="K318" s="21" t="s">
        <v>607</v>
      </c>
      <c r="L318" s="5" t="s">
        <v>19</v>
      </c>
      <c r="M318" s="5" t="s">
        <v>19</v>
      </c>
      <c r="N318" s="5" t="s">
        <v>19</v>
      </c>
      <c r="O318" s="5" t="str">
        <f>HYPERLINK("http://www.lghausys.co.kr/popup/rn/download/downloadPopup.jsp?from=plwindow&amp;uu=/upload/window/REPORT/LGH-WA13-050.pdf","2등급")</f>
        <v>2등급</v>
      </c>
      <c r="P318" s="5" t="str">
        <f>HYPERLINK("http://www.lghausys.co.kr/popup/rn/download/downloadPopup.jsp?from=plwindow&amp;uu=/upload/window/REPORT/LGH-WA13-050.pdf","50등급")</f>
        <v>50등급</v>
      </c>
      <c r="Q318" s="5" t="str">
        <f>HYPERLINK("http://www.lghausys.co.kr/popup/rn/download/downloadPopup.jsp?from=plwindow&amp;uu=/upload/window/REPORT/LGH-WA13-050.pdf","400등급")</f>
        <v>400등급</v>
      </c>
      <c r="R318" s="5" t="s">
        <v>19</v>
      </c>
      <c r="S318" s="5" t="s">
        <v>19</v>
      </c>
      <c r="T318" s="5" t="s">
        <v>19</v>
      </c>
      <c r="U318" s="5" t="s">
        <v>19</v>
      </c>
      <c r="V318" s="5" t="s">
        <v>19</v>
      </c>
      <c r="W318" s="5" t="s">
        <v>152</v>
      </c>
      <c r="X318" s="5">
        <v>0.86599999999999999</v>
      </c>
    </row>
    <row r="319" spans="1:24">
      <c r="A319" t="s">
        <v>19</v>
      </c>
      <c r="B319" t="s">
        <v>83</v>
      </c>
      <c r="C319" t="s">
        <v>31</v>
      </c>
      <c r="D319" t="s">
        <v>25</v>
      </c>
      <c r="E319" t="s">
        <v>19</v>
      </c>
      <c r="F319" t="s">
        <v>19</v>
      </c>
      <c r="G319" t="s">
        <v>19</v>
      </c>
      <c r="H319" t="s">
        <v>19</v>
      </c>
      <c r="I319" t="s">
        <v>19</v>
      </c>
      <c r="J319" t="s">
        <v>19</v>
      </c>
      <c r="K319" s="21" t="s">
        <v>607</v>
      </c>
      <c r="L319" s="5" t="s">
        <v>19</v>
      </c>
      <c r="M319" s="5" t="s">
        <v>19</v>
      </c>
      <c r="N319" s="5" t="s">
        <v>19</v>
      </c>
      <c r="O319" s="5" t="str">
        <f>HYPERLINK("http://www.lghausys.co.kr/popup/rn/download/downloadPopup.jsp?from=plwindow&amp;uu=/upload/window/REPORT/LGH-WA13-052.pdf","2등급")</f>
        <v>2등급</v>
      </c>
      <c r="P319" s="5" t="s">
        <v>19</v>
      </c>
      <c r="Q319" s="5" t="s">
        <v>19</v>
      </c>
      <c r="R319" s="5" t="s">
        <v>19</v>
      </c>
      <c r="S319" s="5" t="s">
        <v>19</v>
      </c>
      <c r="T319" s="5" t="s">
        <v>19</v>
      </c>
      <c r="U319" s="5" t="s">
        <v>19</v>
      </c>
      <c r="V319" s="5" t="s">
        <v>19</v>
      </c>
      <c r="W319" s="5" t="s">
        <v>152</v>
      </c>
      <c r="X319" s="5">
        <v>0.86900000000000011</v>
      </c>
    </row>
    <row r="320" spans="1:24">
      <c r="A320" t="s">
        <v>122</v>
      </c>
      <c r="B320" t="s">
        <v>19</v>
      </c>
      <c r="C320" t="s">
        <v>31</v>
      </c>
      <c r="D320" t="s">
        <v>25</v>
      </c>
      <c r="E320" t="s">
        <v>19</v>
      </c>
      <c r="F320" t="s">
        <v>19</v>
      </c>
      <c r="G320" t="s">
        <v>19</v>
      </c>
      <c r="H320" t="s">
        <v>28</v>
      </c>
      <c r="I320" t="s">
        <v>19</v>
      </c>
      <c r="J320" t="s">
        <v>19</v>
      </c>
      <c r="K320" s="21" t="s">
        <v>607</v>
      </c>
      <c r="L320" s="5" t="s">
        <v>19</v>
      </c>
      <c r="M320" s="5" t="s">
        <v>19</v>
      </c>
      <c r="N320" s="5" t="s">
        <v>19</v>
      </c>
      <c r="O320" s="5" t="s">
        <v>19</v>
      </c>
      <c r="P320" s="5" t="str">
        <f>HYPERLINK("http://www.lghausys.co.kr/popup/rn/download/downloadPopup.jsp?from=plwindow&amp;uu=/upload/window/REPORT/LGH-WA13-054.pdf","50등급")</f>
        <v>50등급</v>
      </c>
      <c r="Q320" s="5" t="str">
        <f>HYPERLINK("http://www.lghausys.co.kr/popup/rn/download/downloadPopup.jsp?from=plwindow&amp;uu=/upload/window/REPORT/LGH-WA13-054.pdf","400등급")</f>
        <v>400등급</v>
      </c>
      <c r="R320" s="5" t="s">
        <v>19</v>
      </c>
      <c r="S320" s="5" t="s">
        <v>19</v>
      </c>
      <c r="T320" s="5" t="s">
        <v>19</v>
      </c>
      <c r="U320" s="5" t="s">
        <v>19</v>
      </c>
      <c r="V320" s="5" t="s">
        <v>19</v>
      </c>
      <c r="W320" s="5" t="s">
        <v>152</v>
      </c>
      <c r="X320" s="5">
        <v>0.873</v>
      </c>
    </row>
    <row r="321" spans="1:24">
      <c r="A321" t="s">
        <v>19</v>
      </c>
      <c r="B321" t="s">
        <v>83</v>
      </c>
      <c r="C321" t="s">
        <v>31</v>
      </c>
      <c r="D321" t="s">
        <v>28</v>
      </c>
      <c r="E321" t="s">
        <v>19</v>
      </c>
      <c r="F321" t="s">
        <v>19</v>
      </c>
      <c r="G321" t="s">
        <v>19</v>
      </c>
      <c r="H321" t="s">
        <v>19</v>
      </c>
      <c r="I321" t="s">
        <v>19</v>
      </c>
      <c r="J321" t="s">
        <v>19</v>
      </c>
      <c r="K321" s="21" t="s">
        <v>607</v>
      </c>
      <c r="L321" s="5" t="s">
        <v>19</v>
      </c>
      <c r="M321" s="5" t="s">
        <v>19</v>
      </c>
      <c r="N321" s="5" t="s">
        <v>19</v>
      </c>
      <c r="O321" s="5" t="str">
        <f>HYPERLINK("http://www.lghausys.co.kr/popup/rn/download/downloadPopup.jsp?from=plwindow&amp;uu=/upload/window/REPORT/LGH-WA13-055.pdf","2등급")</f>
        <v>2등급</v>
      </c>
      <c r="P321" s="5" t="s">
        <v>19</v>
      </c>
      <c r="Q321" s="5" t="s">
        <v>19</v>
      </c>
      <c r="R321" s="5" t="s">
        <v>19</v>
      </c>
      <c r="S321" s="5" t="s">
        <v>19</v>
      </c>
      <c r="T321" s="5" t="s">
        <v>19</v>
      </c>
      <c r="U321" s="5" t="s">
        <v>19</v>
      </c>
      <c r="V321" s="5" t="s">
        <v>19</v>
      </c>
      <c r="W321" s="5" t="s">
        <v>152</v>
      </c>
      <c r="X321" s="5">
        <v>1.3160000000000001</v>
      </c>
    </row>
    <row r="322" spans="1:24">
      <c r="A322" t="s">
        <v>57</v>
      </c>
      <c r="B322" t="s">
        <v>58</v>
      </c>
      <c r="C322" t="s">
        <v>31</v>
      </c>
      <c r="D322" t="s">
        <v>25</v>
      </c>
      <c r="E322" t="s">
        <v>19</v>
      </c>
      <c r="F322" t="s">
        <v>19</v>
      </c>
      <c r="G322" t="s">
        <v>19</v>
      </c>
      <c r="H322" t="s">
        <v>19</v>
      </c>
      <c r="I322" t="s">
        <v>19</v>
      </c>
      <c r="J322" t="s">
        <v>19</v>
      </c>
      <c r="K322" s="21" t="s">
        <v>607</v>
      </c>
      <c r="L322" s="5" t="s">
        <v>19</v>
      </c>
      <c r="M322" s="5" t="s">
        <v>19</v>
      </c>
      <c r="N322" s="5" t="s">
        <v>19</v>
      </c>
      <c r="O322" s="5" t="str">
        <f>HYPERLINK("http://www.lghausys.co.kr/popup/rn/download/downloadPopup.jsp?from=plwindow&amp;uu=/upload/window/REPORT/LGH-WA13-058.pdf","2등급")</f>
        <v>2등급</v>
      </c>
      <c r="P322" s="5" t="str">
        <f>HYPERLINK("http://www.lghausys.co.kr/popup/rn/download/downloadPopup.jsp?from=plwindow&amp;uu=/upload/window/REPORT/LGH-WA13-058.pdf","50등급")</f>
        <v>50등급</v>
      </c>
      <c r="Q322" s="5" t="str">
        <f>HYPERLINK("http://www.lghausys.co.kr/popup/rn/download/downloadPopup.jsp?from=plwindow&amp;uu=/upload/window/REPORT/LGH-WA13-058.pdf","180등급")</f>
        <v>180등급</v>
      </c>
      <c r="R322" s="5" t="s">
        <v>19</v>
      </c>
      <c r="S322" s="5" t="s">
        <v>19</v>
      </c>
      <c r="T322" s="5" t="s">
        <v>19</v>
      </c>
      <c r="U322" s="5" t="s">
        <v>19</v>
      </c>
      <c r="V322" s="5" t="s">
        <v>19</v>
      </c>
      <c r="W322" s="5" t="s">
        <v>152</v>
      </c>
      <c r="X322" s="5">
        <v>0.89599999999999991</v>
      </c>
    </row>
    <row r="323" spans="1:24">
      <c r="A323" t="s">
        <v>19</v>
      </c>
      <c r="B323" t="s">
        <v>82</v>
      </c>
      <c r="C323" t="s">
        <v>31</v>
      </c>
      <c r="D323" t="s">
        <v>25</v>
      </c>
      <c r="E323" t="s">
        <v>19</v>
      </c>
      <c r="F323" t="s">
        <v>19</v>
      </c>
      <c r="G323" t="s">
        <v>19</v>
      </c>
      <c r="H323" t="s">
        <v>19</v>
      </c>
      <c r="I323" t="s">
        <v>19</v>
      </c>
      <c r="J323" t="s">
        <v>19</v>
      </c>
      <c r="K323" s="21" t="s">
        <v>607</v>
      </c>
      <c r="L323" s="5" t="s">
        <v>19</v>
      </c>
      <c r="M323" s="5" t="s">
        <v>19</v>
      </c>
      <c r="N323" s="5" t="s">
        <v>19</v>
      </c>
      <c r="O323" s="5" t="str">
        <f>HYPERLINK("http://www.lghausys.co.kr/popup/rn/download/downloadPopup.jsp?from=plwindow&amp;uu=/upload/window/REPORT/LGH-WA13-062.pdf","2등급")</f>
        <v>2등급</v>
      </c>
      <c r="P323" s="5" t="s">
        <v>19</v>
      </c>
      <c r="Q323" s="5" t="s">
        <v>19</v>
      </c>
      <c r="R323" s="5" t="s">
        <v>19</v>
      </c>
      <c r="S323" s="5" t="s">
        <v>19</v>
      </c>
      <c r="T323" s="5" t="s">
        <v>19</v>
      </c>
      <c r="U323" s="5" t="s">
        <v>19</v>
      </c>
      <c r="V323" s="5" t="s">
        <v>19</v>
      </c>
      <c r="W323" s="5" t="s">
        <v>152</v>
      </c>
      <c r="X323" s="5">
        <v>0.97699999999999998</v>
      </c>
    </row>
    <row r="324" spans="1:24">
      <c r="A324" t="s">
        <v>42</v>
      </c>
      <c r="B324" t="s">
        <v>43</v>
      </c>
      <c r="C324" t="s">
        <v>31</v>
      </c>
      <c r="D324" t="s">
        <v>79</v>
      </c>
      <c r="E324" t="s">
        <v>19</v>
      </c>
      <c r="F324" t="s">
        <v>19</v>
      </c>
      <c r="G324" t="s">
        <v>19</v>
      </c>
      <c r="H324" t="s">
        <v>19</v>
      </c>
      <c r="I324" t="s">
        <v>19</v>
      </c>
      <c r="J324" t="s">
        <v>19</v>
      </c>
      <c r="K324" s="21" t="s">
        <v>607</v>
      </c>
      <c r="L324" s="5" t="s">
        <v>19</v>
      </c>
      <c r="M324" s="5" t="s">
        <v>19</v>
      </c>
      <c r="N324" s="5" t="s">
        <v>19</v>
      </c>
      <c r="O324" s="5" t="str">
        <f>HYPERLINK("http://www.lghausys.co.kr/popup/rn/download/downloadPopup.jsp?from=plwindow&amp;uu=/upload/window/REPORT/LGH-WA13-064.pdf","2등급")</f>
        <v>2등급</v>
      </c>
      <c r="P324" s="5" t="s">
        <v>19</v>
      </c>
      <c r="Q324" s="5" t="s">
        <v>19</v>
      </c>
      <c r="R324" s="5" t="s">
        <v>19</v>
      </c>
      <c r="S324" s="5" t="s">
        <v>19</v>
      </c>
      <c r="T324" s="5" t="s">
        <v>19</v>
      </c>
      <c r="U324" s="5" t="s">
        <v>19</v>
      </c>
      <c r="V324" s="5" t="s">
        <v>19</v>
      </c>
      <c r="W324" s="5" t="s">
        <v>152</v>
      </c>
      <c r="X324" s="5">
        <v>0.89400000000000002</v>
      </c>
    </row>
    <row r="325" spans="1:24">
      <c r="A325" t="s">
        <v>42</v>
      </c>
      <c r="B325" t="s">
        <v>43</v>
      </c>
      <c r="C325" t="s">
        <v>31</v>
      </c>
      <c r="D325" t="s">
        <v>25</v>
      </c>
      <c r="E325" t="s">
        <v>19</v>
      </c>
      <c r="F325" t="s">
        <v>19</v>
      </c>
      <c r="G325" t="s">
        <v>19</v>
      </c>
      <c r="H325" t="s">
        <v>19</v>
      </c>
      <c r="I325" t="s">
        <v>19</v>
      </c>
      <c r="J325" t="s">
        <v>19</v>
      </c>
      <c r="K325" s="21" t="s">
        <v>607</v>
      </c>
      <c r="L325" s="5" t="s">
        <v>19</v>
      </c>
      <c r="M325" s="5" t="s">
        <v>19</v>
      </c>
      <c r="N325" s="5" t="s">
        <v>19</v>
      </c>
      <c r="O325" s="5" t="str">
        <f>HYPERLINK("http://www.lghausys.co.kr/popup/rn/download/downloadPopup.jsp?from=plwindow&amp;uu=/upload/window/REPORT/LGH-WA13-065.pdf","2등급")</f>
        <v>2등급</v>
      </c>
      <c r="P325" s="5" t="s">
        <v>19</v>
      </c>
      <c r="Q325" s="5" t="s">
        <v>19</v>
      </c>
      <c r="R325" s="5" t="s">
        <v>19</v>
      </c>
      <c r="S325" s="5" t="s">
        <v>19</v>
      </c>
      <c r="T325" s="5" t="s">
        <v>19</v>
      </c>
      <c r="U325" s="5" t="s">
        <v>19</v>
      </c>
      <c r="V325" s="5" t="s">
        <v>19</v>
      </c>
      <c r="W325" s="5" t="s">
        <v>152</v>
      </c>
      <c r="X325" s="5">
        <v>0.80500000000000005</v>
      </c>
    </row>
    <row r="326" spans="1:24">
      <c r="A326" t="s">
        <v>30</v>
      </c>
      <c r="B326" t="s">
        <v>19</v>
      </c>
      <c r="C326" t="s">
        <v>31</v>
      </c>
      <c r="D326" t="s">
        <v>32</v>
      </c>
      <c r="E326" t="s">
        <v>19</v>
      </c>
      <c r="F326" t="s">
        <v>19</v>
      </c>
      <c r="G326" t="s">
        <v>19</v>
      </c>
      <c r="H326" t="s">
        <v>25</v>
      </c>
      <c r="I326" t="s">
        <v>19</v>
      </c>
      <c r="J326" t="s">
        <v>19</v>
      </c>
      <c r="K326" s="21" t="s">
        <v>607</v>
      </c>
      <c r="L326" s="5" t="s">
        <v>19</v>
      </c>
      <c r="M326" s="5" t="s">
        <v>19</v>
      </c>
      <c r="N326" s="5" t="s">
        <v>19</v>
      </c>
      <c r="O326" s="5" t="str">
        <f>HYPERLINK("http://www.lghausys.co.kr/popup/rn/download/downloadPopup.jsp?from=plwindow&amp;uu=/upload/window/REPORT/LGH-WA13-068.pdf","2등급")</f>
        <v>2등급</v>
      </c>
      <c r="P326" s="5" t="s">
        <v>19</v>
      </c>
      <c r="Q326" s="5" t="s">
        <v>19</v>
      </c>
      <c r="R326" s="5" t="s">
        <v>19</v>
      </c>
      <c r="S326" s="5" t="s">
        <v>19</v>
      </c>
      <c r="T326" s="5" t="s">
        <v>19</v>
      </c>
      <c r="U326" s="5" t="s">
        <v>19</v>
      </c>
      <c r="V326" s="5" t="s">
        <v>19</v>
      </c>
      <c r="W326" s="5" t="s">
        <v>152</v>
      </c>
      <c r="X326" s="5">
        <v>0.76300000000000001</v>
      </c>
    </row>
    <row r="327" spans="1:24">
      <c r="A327" t="s">
        <v>19</v>
      </c>
      <c r="B327" t="s">
        <v>48</v>
      </c>
      <c r="C327" t="s">
        <v>31</v>
      </c>
      <c r="D327" t="s">
        <v>41</v>
      </c>
      <c r="E327" t="s">
        <v>19</v>
      </c>
      <c r="F327" t="s">
        <v>19</v>
      </c>
      <c r="G327" t="s">
        <v>19</v>
      </c>
      <c r="H327" t="s">
        <v>41</v>
      </c>
      <c r="I327" t="s">
        <v>19</v>
      </c>
      <c r="J327" t="s">
        <v>19</v>
      </c>
      <c r="K327" s="21" t="s">
        <v>607</v>
      </c>
      <c r="L327" s="5" t="s">
        <v>19</v>
      </c>
      <c r="M327" s="5" t="s">
        <v>19</v>
      </c>
      <c r="N327" s="5" t="s">
        <v>19</v>
      </c>
      <c r="O327" s="5" t="str">
        <f>HYPERLINK("http://www.lghausys.co.kr/popup/rn/download/downloadPopup.jsp?from=plwindow&amp;uu=/upload/window/REPORT/LGH-WA13-070.pdf","2등급")</f>
        <v>2등급</v>
      </c>
      <c r="P327" s="5" t="str">
        <f>HYPERLINK("http://www.lghausys.co.kr/popup/rn/download/downloadPopup.jsp?from=plwindow&amp;uu=/upload/window/REPORT/LGH-WA13-070.pdf","10등급")</f>
        <v>10등급</v>
      </c>
      <c r="Q327" s="5" t="str">
        <f>HYPERLINK("http://www.lghausys.co.kr/popup/rn/download/downloadPopup.jsp?from=plwindow&amp;uu=/upload/window/REPORT/LGH-WA13-070.pdf","80등급")</f>
        <v>80등급</v>
      </c>
      <c r="R327" s="5" t="s">
        <v>19</v>
      </c>
      <c r="S327" s="5" t="s">
        <v>19</v>
      </c>
      <c r="T327" s="5" t="s">
        <v>19</v>
      </c>
      <c r="U327" s="5" t="s">
        <v>19</v>
      </c>
      <c r="V327" s="5" t="s">
        <v>19</v>
      </c>
      <c r="W327" s="5" t="s">
        <v>154</v>
      </c>
      <c r="X327" s="5">
        <v>1.873</v>
      </c>
    </row>
    <row r="328" spans="1:24">
      <c r="A328" t="s">
        <v>19</v>
      </c>
      <c r="B328" t="s">
        <v>49</v>
      </c>
      <c r="C328" t="s">
        <v>31</v>
      </c>
      <c r="D328" t="s">
        <v>41</v>
      </c>
      <c r="E328" t="s">
        <v>19</v>
      </c>
      <c r="F328" t="s">
        <v>19</v>
      </c>
      <c r="G328" t="s">
        <v>19</v>
      </c>
      <c r="H328" t="s">
        <v>19</v>
      </c>
      <c r="I328" t="s">
        <v>19</v>
      </c>
      <c r="J328" t="s">
        <v>19</v>
      </c>
      <c r="K328" s="21" t="s">
        <v>607</v>
      </c>
      <c r="L328" s="5" t="s">
        <v>19</v>
      </c>
      <c r="M328" s="5" t="s">
        <v>19</v>
      </c>
      <c r="N328" s="5" t="s">
        <v>19</v>
      </c>
      <c r="O328" s="5" t="s">
        <v>19</v>
      </c>
      <c r="P328" s="5" t="s">
        <v>19</v>
      </c>
      <c r="Q328" s="5" t="str">
        <f>HYPERLINK("http://www.lghausys.co.kr/popup/rn/download/downloadPopup.jsp?from=plwindow&amp;uu=/upload/window/REPORT/LGH-WA13-075.pdf","220등급")</f>
        <v>220등급</v>
      </c>
      <c r="R328" s="5" t="s">
        <v>19</v>
      </c>
      <c r="S328" s="5" t="s">
        <v>19</v>
      </c>
      <c r="T328" s="5" t="s">
        <v>19</v>
      </c>
      <c r="U328" s="5" t="s">
        <v>19</v>
      </c>
      <c r="V328" s="5" t="s">
        <v>19</v>
      </c>
      <c r="W328" s="5" t="s">
        <v>152</v>
      </c>
      <c r="X328" s="5">
        <v>0.81</v>
      </c>
    </row>
    <row r="329" spans="1:24">
      <c r="A329" t="s">
        <v>30</v>
      </c>
      <c r="B329" t="s">
        <v>19</v>
      </c>
      <c r="C329" t="s">
        <v>31</v>
      </c>
      <c r="D329" t="s">
        <v>25</v>
      </c>
      <c r="E329" t="s">
        <v>19</v>
      </c>
      <c r="F329" t="s">
        <v>19</v>
      </c>
      <c r="G329" t="s">
        <v>19</v>
      </c>
      <c r="H329" t="s">
        <v>25</v>
      </c>
      <c r="I329" t="s">
        <v>19</v>
      </c>
      <c r="J329" t="s">
        <v>19</v>
      </c>
      <c r="K329" s="21" t="s">
        <v>607</v>
      </c>
      <c r="L329" s="5" t="s">
        <v>19</v>
      </c>
      <c r="M329" s="5" t="s">
        <v>19</v>
      </c>
      <c r="N329" s="5" t="s">
        <v>19</v>
      </c>
      <c r="O329" s="5" t="str">
        <f>HYPERLINK("http://www.lghausys.co.kr/popup/rn/download/downloadPopup.jsp?from=plwindow&amp;uu=/upload/window/REPORT/LGH-WA13-082.pdf","2등급")</f>
        <v>2등급</v>
      </c>
      <c r="P329" s="5" t="str">
        <f>HYPERLINK("http://www.lghausys.co.kr/popup/rn/download/downloadPopup.jsp?from=plwindow&amp;uu=/upload/window/REPORT/LGH-WA13-082.pdf","50등급")</f>
        <v>50등급</v>
      </c>
      <c r="Q329" s="5" t="str">
        <f>HYPERLINK("http://www.lghausys.co.kr/popup/rn/download/downloadPopup.jsp?from=plwindow&amp;uu=/upload/window/REPORT/LGH-WA13-082.pdf","360등급")</f>
        <v>360등급</v>
      </c>
      <c r="R329" s="5" t="s">
        <v>19</v>
      </c>
      <c r="S329" s="5" t="s">
        <v>19</v>
      </c>
      <c r="T329" s="5" t="s">
        <v>19</v>
      </c>
      <c r="U329" s="5" t="s">
        <v>19</v>
      </c>
      <c r="V329" s="5" t="s">
        <v>19</v>
      </c>
      <c r="W329" s="5" t="s">
        <v>152</v>
      </c>
      <c r="X329" s="5">
        <v>0.755</v>
      </c>
    </row>
    <row r="330" spans="1:24">
      <c r="A330" t="s">
        <v>84</v>
      </c>
      <c r="B330" t="s">
        <v>19</v>
      </c>
      <c r="C330" t="s">
        <v>31</v>
      </c>
      <c r="D330" t="s">
        <v>85</v>
      </c>
      <c r="E330" t="s">
        <v>19</v>
      </c>
      <c r="F330" t="s">
        <v>19</v>
      </c>
      <c r="G330" t="s">
        <v>19</v>
      </c>
      <c r="H330" t="s">
        <v>19</v>
      </c>
      <c r="I330" t="s">
        <v>19</v>
      </c>
      <c r="J330" t="s">
        <v>19</v>
      </c>
      <c r="K330" s="21" t="s">
        <v>607</v>
      </c>
      <c r="L330" s="5" t="s">
        <v>19</v>
      </c>
      <c r="M330" s="5" t="s">
        <v>19</v>
      </c>
      <c r="N330" s="5" t="s">
        <v>19</v>
      </c>
      <c r="O330" s="5" t="str">
        <f>HYPERLINK("http://www.lghausys.co.kr/popup/rn/download/downloadPopup.jsp?from=plwindow&amp;uu=/upload/window/REPORT/LGH-WA14-033.pdf","30등급")</f>
        <v>30등급</v>
      </c>
      <c r="P330" s="5" t="s">
        <v>19</v>
      </c>
      <c r="Q330" s="5" t="str">
        <f>HYPERLINK("http://www.lghausys.co.kr/popup/rn/download/downloadPopup.jsp?from=plwindow&amp;uu=/upload/window/REPORT/LGH-WA14-033.pdf","400등급")</f>
        <v>400등급</v>
      </c>
      <c r="R330" s="5" t="s">
        <v>19</v>
      </c>
      <c r="S330" s="5" t="s">
        <v>19</v>
      </c>
      <c r="T330" s="5" t="s">
        <v>19</v>
      </c>
      <c r="U330" s="5" t="s">
        <v>19</v>
      </c>
      <c r="V330" s="5" t="s">
        <v>19</v>
      </c>
      <c r="W330" s="5" t="s">
        <v>152</v>
      </c>
      <c r="X330" s="5">
        <v>0.74099999999999999</v>
      </c>
    </row>
    <row r="331" spans="1:24">
      <c r="A331" t="s">
        <v>18</v>
      </c>
      <c r="B331" t="s">
        <v>19</v>
      </c>
      <c r="C331" t="s">
        <v>31</v>
      </c>
      <c r="D331" t="s">
        <v>21</v>
      </c>
      <c r="E331" t="s">
        <v>19</v>
      </c>
      <c r="F331" t="s">
        <v>19</v>
      </c>
      <c r="G331" t="s">
        <v>19</v>
      </c>
      <c r="H331" t="s">
        <v>19</v>
      </c>
      <c r="I331" t="s">
        <v>19</v>
      </c>
      <c r="J331" t="s">
        <v>19</v>
      </c>
      <c r="K331" s="21" t="s">
        <v>607</v>
      </c>
      <c r="L331" s="5" t="s">
        <v>19</v>
      </c>
      <c r="M331" s="5" t="s">
        <v>19</v>
      </c>
      <c r="N331" s="5" t="s">
        <v>19</v>
      </c>
      <c r="O331" s="5" t="s">
        <v>19</v>
      </c>
      <c r="P331" s="5" t="str">
        <f>HYPERLINK("http://www.lghausys.co.kr/popup/rn/download/downloadPopup.jsp?from=plwindow&amp;uu=/upload/window/REPORT/LGH-WA14-035.pdf","50등급")</f>
        <v>50등급</v>
      </c>
      <c r="Q331" s="5" t="str">
        <f>HYPERLINK("http://www.lghausys.co.kr/popup/rn/download/downloadPopup.jsp?from=plwindow&amp;uu=/upload/window/REPORT/LGH-WA14-035.pdf","240등급")</f>
        <v>240등급</v>
      </c>
      <c r="R331" s="5" t="s">
        <v>19</v>
      </c>
      <c r="S331" s="5" t="s">
        <v>19</v>
      </c>
      <c r="T331" s="5" t="s">
        <v>19</v>
      </c>
      <c r="U331" s="5" t="s">
        <v>19</v>
      </c>
      <c r="V331" s="5" t="s">
        <v>19</v>
      </c>
      <c r="W331" s="5" t="s">
        <v>152</v>
      </c>
      <c r="X331" s="5">
        <v>0.80500000000000005</v>
      </c>
    </row>
    <row r="332" spans="1:24">
      <c r="A332" t="s">
        <v>39</v>
      </c>
      <c r="B332" t="s">
        <v>19</v>
      </c>
      <c r="C332" t="s">
        <v>31</v>
      </c>
      <c r="D332" t="s">
        <v>51</v>
      </c>
      <c r="E332" t="s">
        <v>19</v>
      </c>
      <c r="F332" t="s">
        <v>19</v>
      </c>
      <c r="G332" t="s">
        <v>19</v>
      </c>
      <c r="H332" t="s">
        <v>19</v>
      </c>
      <c r="I332" t="s">
        <v>19</v>
      </c>
      <c r="J332" t="s">
        <v>19</v>
      </c>
      <c r="K332" s="21" t="s">
        <v>607</v>
      </c>
      <c r="L332" s="5" t="s">
        <v>19</v>
      </c>
      <c r="M332" s="5" t="s">
        <v>19</v>
      </c>
      <c r="N332" s="5" t="s">
        <v>19</v>
      </c>
      <c r="O332" s="5" t="str">
        <f>HYPERLINK("http://www.lghausys.co.kr/popup/rn/download/downloadPopup.jsp?from=plwindow&amp;uu=/upload/window/REPORT/LGH-WA14-063.pdf","1등급")</f>
        <v>1등급</v>
      </c>
      <c r="P332" s="5" t="str">
        <f>HYPERLINK("http://www.lghausys.co.kr/popup/rn/download/downloadPopup.jsp?from=plwindow&amp;uu=/upload/window/REPORT/LGH-WA14-063.pdf","50등급")</f>
        <v>50등급</v>
      </c>
      <c r="Q332" s="5" t="s">
        <v>19</v>
      </c>
      <c r="R332" s="5" t="s">
        <v>19</v>
      </c>
      <c r="S332" s="5" t="s">
        <v>19</v>
      </c>
      <c r="T332" s="5" t="s">
        <v>19</v>
      </c>
      <c r="U332" s="5" t="s">
        <v>19</v>
      </c>
      <c r="V332" s="5" t="s">
        <v>19</v>
      </c>
      <c r="W332" s="5" t="s">
        <v>152</v>
      </c>
      <c r="X332" s="5">
        <v>0.86599999999999999</v>
      </c>
    </row>
    <row r="333" spans="1:24">
      <c r="A333" t="s">
        <v>39</v>
      </c>
      <c r="B333" t="s">
        <v>19</v>
      </c>
      <c r="C333" t="s">
        <v>31</v>
      </c>
      <c r="D333" t="s">
        <v>51</v>
      </c>
      <c r="E333" t="s">
        <v>19</v>
      </c>
      <c r="F333" t="s">
        <v>19</v>
      </c>
      <c r="G333" t="s">
        <v>19</v>
      </c>
      <c r="H333" t="s">
        <v>19</v>
      </c>
      <c r="I333" t="s">
        <v>19</v>
      </c>
      <c r="J333" t="s">
        <v>19</v>
      </c>
      <c r="K333" s="21" t="s">
        <v>607</v>
      </c>
      <c r="L333" s="5" t="s">
        <v>19</v>
      </c>
      <c r="M333" s="5" t="s">
        <v>19</v>
      </c>
      <c r="N333" s="5" t="s">
        <v>19</v>
      </c>
      <c r="O333" s="5" t="str">
        <f>HYPERLINK("http://www.lghausys.co.kr/popup/rn/download/downloadPopup.jsp?from=plwindow&amp;uu=/upload/window/REPORT/LGH-WA14-064.pdf","1등급")</f>
        <v>1등급</v>
      </c>
      <c r="P333" s="5" t="str">
        <f>HYPERLINK("http://www.lghausys.co.kr/popup/rn/download/downloadPopup.jsp?from=plwindow&amp;uu=/upload/window/REPORT/LGH-WA14-064.pdf","50등급")</f>
        <v>50등급</v>
      </c>
      <c r="Q333" s="5" t="s">
        <v>19</v>
      </c>
      <c r="R333" s="5" t="s">
        <v>19</v>
      </c>
      <c r="S333" s="5" t="s">
        <v>19</v>
      </c>
      <c r="T333" s="5" t="s">
        <v>19</v>
      </c>
      <c r="U333" s="5" t="s">
        <v>19</v>
      </c>
      <c r="V333" s="5" t="s">
        <v>19</v>
      </c>
      <c r="W333" s="5" t="s">
        <v>152</v>
      </c>
      <c r="X333" s="5">
        <v>0.78299999999999992</v>
      </c>
    </row>
    <row r="334" spans="1:24">
      <c r="A334" t="s">
        <v>39</v>
      </c>
      <c r="B334" t="s">
        <v>19</v>
      </c>
      <c r="C334" t="s">
        <v>31</v>
      </c>
      <c r="D334" t="s">
        <v>51</v>
      </c>
      <c r="E334" t="s">
        <v>19</v>
      </c>
      <c r="F334" t="s">
        <v>19</v>
      </c>
      <c r="G334" t="s">
        <v>19</v>
      </c>
      <c r="H334" t="s">
        <v>19</v>
      </c>
      <c r="I334" t="s">
        <v>19</v>
      </c>
      <c r="J334" t="s">
        <v>19</v>
      </c>
      <c r="K334" s="21" t="s">
        <v>607</v>
      </c>
      <c r="L334" s="5" t="s">
        <v>19</v>
      </c>
      <c r="M334" s="5" t="s">
        <v>19</v>
      </c>
      <c r="N334" s="5" t="s">
        <v>19</v>
      </c>
      <c r="O334" s="5" t="str">
        <f>HYPERLINK("http://www.lghausys.co.kr/popup/rn/download/downloadPopup.jsp?from=plwindow&amp;uu=/upload/window/REPORT/LGH-WA14-067.pdf","1등급")</f>
        <v>1등급</v>
      </c>
      <c r="P334" s="5" t="str">
        <f>HYPERLINK("http://www.lghausys.co.kr/popup/rn/download/downloadPopup.jsp?from=plwindow&amp;uu=/upload/window/REPORT/LGH-WA14-067.pdf","50등급")</f>
        <v>50등급</v>
      </c>
      <c r="Q334" s="5" t="s">
        <v>19</v>
      </c>
      <c r="R334" s="5" t="s">
        <v>19</v>
      </c>
      <c r="S334" s="5" t="s">
        <v>19</v>
      </c>
      <c r="T334" s="5" t="s">
        <v>19</v>
      </c>
      <c r="U334" s="5" t="s">
        <v>19</v>
      </c>
      <c r="V334" s="5" t="s">
        <v>19</v>
      </c>
      <c r="W334" s="5" t="s">
        <v>152</v>
      </c>
      <c r="X334" s="5">
        <v>0.77900000000000003</v>
      </c>
    </row>
    <row r="335" spans="1:24">
      <c r="A335" t="s">
        <v>39</v>
      </c>
      <c r="B335" t="s">
        <v>19</v>
      </c>
      <c r="C335" t="s">
        <v>31</v>
      </c>
      <c r="D335" t="s">
        <v>51</v>
      </c>
      <c r="E335" t="s">
        <v>19</v>
      </c>
      <c r="F335" t="s">
        <v>19</v>
      </c>
      <c r="G335" t="s">
        <v>19</v>
      </c>
      <c r="H335" t="s">
        <v>19</v>
      </c>
      <c r="I335" t="s">
        <v>19</v>
      </c>
      <c r="J335" t="s">
        <v>19</v>
      </c>
      <c r="K335" s="21" t="s">
        <v>607</v>
      </c>
      <c r="L335" s="5" t="s">
        <v>19</v>
      </c>
      <c r="M335" s="5" t="s">
        <v>19</v>
      </c>
      <c r="N335" s="5" t="s">
        <v>19</v>
      </c>
      <c r="O335" s="5" t="str">
        <f>HYPERLINK("http://www.lghausys.co.kr/popup/rn/download/downloadPopup.jsp?from=plwindow&amp;uu=/upload/window/REPORT/LGH-WA14-068.pdf","1등급")</f>
        <v>1등급</v>
      </c>
      <c r="P335" s="5" t="str">
        <f>HYPERLINK("http://www.lghausys.co.kr/popup/rn/download/downloadPopup.jsp?from=plwindow&amp;uu=/upload/window/REPORT/LGH-WA14-068.pdf","50등급")</f>
        <v>50등급</v>
      </c>
      <c r="Q335" s="5" t="s">
        <v>19</v>
      </c>
      <c r="R335" s="5" t="s">
        <v>19</v>
      </c>
      <c r="S335" s="5" t="s">
        <v>19</v>
      </c>
      <c r="T335" s="5" t="s">
        <v>19</v>
      </c>
      <c r="U335" s="5" t="s">
        <v>19</v>
      </c>
      <c r="V335" s="5" t="s">
        <v>19</v>
      </c>
      <c r="W335" s="5" t="s">
        <v>152</v>
      </c>
      <c r="X335" s="5">
        <v>0.79099999999999993</v>
      </c>
    </row>
    <row r="336" spans="1:24">
      <c r="A336" t="s">
        <v>78</v>
      </c>
      <c r="B336" t="s">
        <v>19</v>
      </c>
      <c r="C336" t="s">
        <v>31</v>
      </c>
      <c r="D336" t="s">
        <v>28</v>
      </c>
      <c r="E336" t="s">
        <v>54</v>
      </c>
      <c r="F336" t="s">
        <v>19</v>
      </c>
      <c r="G336" t="s">
        <v>19</v>
      </c>
      <c r="H336" t="s">
        <v>19</v>
      </c>
      <c r="I336" t="s">
        <v>19</v>
      </c>
      <c r="J336" t="s">
        <v>19</v>
      </c>
      <c r="K336" s="21" t="s">
        <v>607</v>
      </c>
      <c r="L336" s="5" t="s">
        <v>19</v>
      </c>
      <c r="M336" s="5" t="s">
        <v>19</v>
      </c>
      <c r="N336" s="5" t="s">
        <v>19</v>
      </c>
      <c r="O336" s="5" t="str">
        <f>HYPERLINK("http://www.lghausys.co.kr/popup/rn/download/downloadPopup.jsp?from=plwindow&amp;uu=/upload/window/REPORT/LGH-WA14-070.pdf","1등급")</f>
        <v>1등급</v>
      </c>
      <c r="P336" s="5" t="s">
        <v>19</v>
      </c>
      <c r="Q336" s="5" t="s">
        <v>19</v>
      </c>
      <c r="R336" s="5" t="s">
        <v>19</v>
      </c>
      <c r="S336" s="5" t="s">
        <v>19</v>
      </c>
      <c r="T336" s="5" t="s">
        <v>19</v>
      </c>
      <c r="U336" s="5" t="s">
        <v>19</v>
      </c>
      <c r="V336" s="5" t="s">
        <v>19</v>
      </c>
      <c r="W336" s="5" t="s">
        <v>152</v>
      </c>
      <c r="X336" s="5">
        <v>0.76900000000000002</v>
      </c>
    </row>
    <row r="337" spans="1:24">
      <c r="A337" t="s">
        <v>27</v>
      </c>
      <c r="B337" t="s">
        <v>19</v>
      </c>
      <c r="C337" t="s">
        <v>31</v>
      </c>
      <c r="D337" t="s">
        <v>25</v>
      </c>
      <c r="E337" t="s">
        <v>87</v>
      </c>
      <c r="F337" t="s">
        <v>19</v>
      </c>
      <c r="G337" t="s">
        <v>19</v>
      </c>
      <c r="H337" t="s">
        <v>25</v>
      </c>
      <c r="I337" t="s">
        <v>19</v>
      </c>
      <c r="J337" t="s">
        <v>19</v>
      </c>
      <c r="K337" s="21" t="s">
        <v>607</v>
      </c>
      <c r="L337" s="5" t="s">
        <v>19</v>
      </c>
      <c r="M337" s="5" t="s">
        <v>19</v>
      </c>
      <c r="N337" s="5" t="s">
        <v>19</v>
      </c>
      <c r="O337" s="5" t="str">
        <f>HYPERLINK("http://www.lghausys.co.kr/popup/rn/download/downloadPopup.jsp?from=plwindow&amp;uu=/upload/window/REPORT/LGH-WA14-071.pdf","1등급")</f>
        <v>1등급</v>
      </c>
      <c r="P337" s="5" t="s">
        <v>19</v>
      </c>
      <c r="Q337" s="5" t="s">
        <v>19</v>
      </c>
      <c r="R337" s="5" t="s">
        <v>19</v>
      </c>
      <c r="S337" s="5" t="s">
        <v>19</v>
      </c>
      <c r="T337" s="5" t="s">
        <v>19</v>
      </c>
      <c r="U337" s="5" t="s">
        <v>19</v>
      </c>
      <c r="V337" s="5" t="s">
        <v>19</v>
      </c>
      <c r="W337" s="5" t="s">
        <v>152</v>
      </c>
      <c r="X337" s="5">
        <v>0.81599999999999995</v>
      </c>
    </row>
    <row r="338" spans="1:24">
      <c r="A338" t="s">
        <v>19</v>
      </c>
      <c r="B338" t="s">
        <v>71</v>
      </c>
      <c r="C338" t="s">
        <v>31</v>
      </c>
      <c r="D338" t="s">
        <v>25</v>
      </c>
      <c r="E338" t="s">
        <v>19</v>
      </c>
      <c r="F338" t="s">
        <v>19</v>
      </c>
      <c r="G338" t="s">
        <v>19</v>
      </c>
      <c r="H338" t="s">
        <v>25</v>
      </c>
      <c r="I338" t="s">
        <v>19</v>
      </c>
      <c r="J338" t="s">
        <v>19</v>
      </c>
      <c r="K338" s="21" t="s">
        <v>607</v>
      </c>
      <c r="L338" s="5" t="s">
        <v>19</v>
      </c>
      <c r="M338" s="5" t="s">
        <v>19</v>
      </c>
      <c r="N338" s="5" t="s">
        <v>19</v>
      </c>
      <c r="O338" s="5" t="str">
        <f>HYPERLINK("http://www.lghausys.co.kr/popup/rn/download/downloadPopup.jsp?from=plwindow&amp;uu=/upload/window/REPORT/LGH-WA14-075.pdf","1등급")</f>
        <v>1등급</v>
      </c>
      <c r="P338" s="5" t="str">
        <f>HYPERLINK("http://www.lghausys.co.kr/popup/rn/download/downloadPopup.jsp?from=plwindow&amp;uu=/upload/window/REPORT/LGH-WA14-075.pdf","25등급")</f>
        <v>25등급</v>
      </c>
      <c r="Q338" s="5" t="s">
        <v>19</v>
      </c>
      <c r="R338" s="5" t="s">
        <v>19</v>
      </c>
      <c r="S338" s="5" t="s">
        <v>19</v>
      </c>
      <c r="T338" s="5" t="s">
        <v>19</v>
      </c>
      <c r="U338" s="5" t="s">
        <v>19</v>
      </c>
      <c r="V338" s="5" t="s">
        <v>19</v>
      </c>
      <c r="W338" s="5" t="s">
        <v>152</v>
      </c>
      <c r="X338" s="5">
        <v>2.0880000000000001</v>
      </c>
    </row>
    <row r="339" spans="1:24">
      <c r="A339" t="s">
        <v>78</v>
      </c>
      <c r="B339" t="s">
        <v>19</v>
      </c>
      <c r="C339" t="s">
        <v>31</v>
      </c>
      <c r="D339" t="s">
        <v>25</v>
      </c>
      <c r="E339" t="s">
        <v>87</v>
      </c>
      <c r="F339" t="s">
        <v>19</v>
      </c>
      <c r="G339" t="s">
        <v>19</v>
      </c>
      <c r="H339" t="s">
        <v>19</v>
      </c>
      <c r="I339" t="s">
        <v>19</v>
      </c>
      <c r="J339" t="s">
        <v>19</v>
      </c>
      <c r="K339" s="21" t="s">
        <v>607</v>
      </c>
      <c r="L339" s="5" t="s">
        <v>19</v>
      </c>
      <c r="M339" s="5" t="s">
        <v>19</v>
      </c>
      <c r="N339" s="5" t="s">
        <v>19</v>
      </c>
      <c r="O339" s="5" t="str">
        <f>HYPERLINK("http://www.lghausys.co.kr/popup/rn/download/downloadPopup.jsp?from=plwindow&amp;uu=/upload/window/REPORT/LGH-WA14-076.pdf","1등급")</f>
        <v>1등급</v>
      </c>
      <c r="P339" s="5" t="s">
        <v>19</v>
      </c>
      <c r="Q339" s="5" t="s">
        <v>19</v>
      </c>
      <c r="R339" s="5" t="s">
        <v>19</v>
      </c>
      <c r="S339" s="5" t="s">
        <v>19</v>
      </c>
      <c r="T339" s="5" t="s">
        <v>19</v>
      </c>
      <c r="U339" s="5" t="s">
        <v>19</v>
      </c>
      <c r="V339" s="5" t="s">
        <v>19</v>
      </c>
      <c r="W339" s="5" t="s">
        <v>152</v>
      </c>
      <c r="X339" s="5">
        <v>1.883</v>
      </c>
    </row>
    <row r="340" spans="1:24">
      <c r="A340" t="s">
        <v>27</v>
      </c>
      <c r="B340" t="s">
        <v>19</v>
      </c>
      <c r="C340" t="s">
        <v>31</v>
      </c>
      <c r="D340" t="s">
        <v>28</v>
      </c>
      <c r="E340" t="s">
        <v>54</v>
      </c>
      <c r="F340" t="s">
        <v>19</v>
      </c>
      <c r="G340" t="s">
        <v>19</v>
      </c>
      <c r="H340" t="s">
        <v>28</v>
      </c>
      <c r="I340" t="s">
        <v>19</v>
      </c>
      <c r="J340" t="s">
        <v>19</v>
      </c>
      <c r="K340" s="21" t="s">
        <v>607</v>
      </c>
      <c r="L340" s="5" t="s">
        <v>19</v>
      </c>
      <c r="M340" s="5" t="s">
        <v>19</v>
      </c>
      <c r="N340" s="5" t="s">
        <v>19</v>
      </c>
      <c r="O340" s="5" t="str">
        <f>HYPERLINK("http://www.lghausys.co.kr/popup/rn/download/downloadPopup.jsp?from=plwindow&amp;uu=/upload/window/REPORT/LGH-WA14-077.pdf","1등급")</f>
        <v>1등급</v>
      </c>
      <c r="P340" s="5" t="s">
        <v>19</v>
      </c>
      <c r="Q340" s="5" t="s">
        <v>19</v>
      </c>
      <c r="R340" s="5" t="s">
        <v>19</v>
      </c>
      <c r="S340" s="5" t="s">
        <v>19</v>
      </c>
      <c r="T340" s="5" t="s">
        <v>19</v>
      </c>
      <c r="U340" s="5" t="s">
        <v>19</v>
      </c>
      <c r="V340" s="5" t="s">
        <v>19</v>
      </c>
      <c r="W340" s="5" t="s">
        <v>152</v>
      </c>
      <c r="X340" s="5">
        <v>1.754</v>
      </c>
    </row>
    <row r="341" spans="1:24">
      <c r="A341" t="s">
        <v>30</v>
      </c>
      <c r="B341" t="s">
        <v>19</v>
      </c>
      <c r="C341" t="s">
        <v>31</v>
      </c>
      <c r="D341" t="s">
        <v>28</v>
      </c>
      <c r="E341" t="s">
        <v>19</v>
      </c>
      <c r="F341" t="s">
        <v>19</v>
      </c>
      <c r="G341" t="s">
        <v>19</v>
      </c>
      <c r="H341" t="s">
        <v>28</v>
      </c>
      <c r="I341" t="s">
        <v>19</v>
      </c>
      <c r="J341" t="s">
        <v>19</v>
      </c>
      <c r="K341" s="21" t="s">
        <v>607</v>
      </c>
      <c r="L341" s="5" t="s">
        <v>19</v>
      </c>
      <c r="M341" s="5" t="s">
        <v>19</v>
      </c>
      <c r="N341" s="5" t="s">
        <v>19</v>
      </c>
      <c r="O341" s="5" t="str">
        <f>HYPERLINK("http://www.lghausys.co.kr/popup/rn/download/downloadPopup.jsp?from=plwindow&amp;uu=/upload/window/REPORT/LGH-WA14-078.pdf","1등급")</f>
        <v>1등급</v>
      </c>
      <c r="P341" s="5" t="s">
        <v>19</v>
      </c>
      <c r="Q341" s="5" t="s">
        <v>19</v>
      </c>
      <c r="R341" s="5" t="s">
        <v>19</v>
      </c>
      <c r="S341" s="5" t="s">
        <v>19</v>
      </c>
      <c r="T341" s="5" t="s">
        <v>19</v>
      </c>
      <c r="U341" s="5" t="s">
        <v>19</v>
      </c>
      <c r="V341" s="5" t="s">
        <v>19</v>
      </c>
      <c r="W341" s="5" t="s">
        <v>152</v>
      </c>
      <c r="X341" s="5">
        <v>2.0409999999999999</v>
      </c>
    </row>
    <row r="342" spans="1:24">
      <c r="A342" t="s">
        <v>19</v>
      </c>
      <c r="B342" t="s">
        <v>124</v>
      </c>
      <c r="C342" t="s">
        <v>31</v>
      </c>
      <c r="D342" t="s">
        <v>41</v>
      </c>
      <c r="E342" t="s">
        <v>19</v>
      </c>
      <c r="F342" t="s">
        <v>19</v>
      </c>
      <c r="G342" t="s">
        <v>19</v>
      </c>
      <c r="H342" t="s">
        <v>41</v>
      </c>
      <c r="I342" t="s">
        <v>19</v>
      </c>
      <c r="J342" t="s">
        <v>19</v>
      </c>
      <c r="K342" s="21" t="s">
        <v>607</v>
      </c>
      <c r="L342" s="5" t="s">
        <v>19</v>
      </c>
      <c r="M342" s="5" t="s">
        <v>19</v>
      </c>
      <c r="N342" s="5" t="s">
        <v>19</v>
      </c>
      <c r="O342" s="5" t="str">
        <f>HYPERLINK("http://www.lghausys.co.kr/popup/rn/download/downloadPopup.jsp?from=plwindow&amp;uu=/upload/window/REPORT/LGH-WA14-131.pdf","1등급")</f>
        <v>1등급</v>
      </c>
      <c r="P342" s="5" t="str">
        <f>HYPERLINK("http://www.lghausys.co.kr/popup/rn/download/downloadPopup.jsp?from=plwindow&amp;uu=/upload/window/REPORT/LGH-WA14-131.pdf","50등급")</f>
        <v>50등급</v>
      </c>
      <c r="Q342" s="5" t="str">
        <f>HYPERLINK("http://www.lghausys.co.kr/popup/rn/download/downloadPopup.jsp?from=plwindow&amp;uu=/upload/window/REPORT/LGH-WA14-131.pdf","400등급")</f>
        <v>400등급</v>
      </c>
      <c r="R342" s="5" t="s">
        <v>19</v>
      </c>
      <c r="S342" s="5" t="s">
        <v>19</v>
      </c>
      <c r="T342" s="5" t="s">
        <v>19</v>
      </c>
      <c r="U342" s="5" t="s">
        <v>19</v>
      </c>
      <c r="V342" s="5" t="s">
        <v>19</v>
      </c>
      <c r="W342" s="5" t="s">
        <v>152</v>
      </c>
      <c r="X342" s="5">
        <v>2.02</v>
      </c>
    </row>
    <row r="343" spans="1:24">
      <c r="A343" t="s">
        <v>19</v>
      </c>
      <c r="B343" t="s">
        <v>124</v>
      </c>
      <c r="C343" t="s">
        <v>31</v>
      </c>
      <c r="D343" t="s">
        <v>25</v>
      </c>
      <c r="E343" t="s">
        <v>19</v>
      </c>
      <c r="F343" t="s">
        <v>19</v>
      </c>
      <c r="G343" t="s">
        <v>19</v>
      </c>
      <c r="H343" t="s">
        <v>25</v>
      </c>
      <c r="I343" t="s">
        <v>19</v>
      </c>
      <c r="J343" t="s">
        <v>19</v>
      </c>
      <c r="K343" s="21" t="s">
        <v>607</v>
      </c>
      <c r="L343" s="5" t="s">
        <v>19</v>
      </c>
      <c r="M343" s="5" t="s">
        <v>19</v>
      </c>
      <c r="N343" s="5" t="s">
        <v>19</v>
      </c>
      <c r="O343" s="5" t="str">
        <f>HYPERLINK("http://www.lghausys.co.kr/popup/rn/download/downloadPopup.jsp?from=plwindow&amp;uu=/upload/window/REPORT/LGH-WA14-132.pdf","1등급")</f>
        <v>1등급</v>
      </c>
      <c r="P343" s="5" t="str">
        <f>HYPERLINK("http://www.lghausys.co.kr/popup/rn/download/downloadPopup.jsp?from=plwindow&amp;uu=/upload/window/REPORT/LGH-WA14-132.pdf","50등급")</f>
        <v>50등급</v>
      </c>
      <c r="Q343" s="5" t="str">
        <f>HYPERLINK("http://www.lghausys.co.kr/popup/rn/download/downloadPopup.jsp?from=plwindow&amp;uu=/upload/window/REPORT/LGH-WA14-132.pdf","400등급")</f>
        <v>400등급</v>
      </c>
      <c r="R343" s="5" t="s">
        <v>19</v>
      </c>
      <c r="S343" s="5" t="s">
        <v>19</v>
      </c>
      <c r="T343" s="5" t="s">
        <v>19</v>
      </c>
      <c r="U343" s="5" t="s">
        <v>19</v>
      </c>
      <c r="V343" s="5" t="s">
        <v>19</v>
      </c>
      <c r="W343" s="5" t="s">
        <v>152</v>
      </c>
      <c r="X343" s="5">
        <v>0.98799999999999999</v>
      </c>
    </row>
    <row r="344" spans="1:24">
      <c r="A344" t="s">
        <v>19</v>
      </c>
      <c r="B344" t="s">
        <v>83</v>
      </c>
      <c r="C344" t="s">
        <v>31</v>
      </c>
      <c r="D344" t="s">
        <v>64</v>
      </c>
      <c r="E344" t="s">
        <v>19</v>
      </c>
      <c r="F344" t="s">
        <v>19</v>
      </c>
      <c r="G344" t="s">
        <v>19</v>
      </c>
      <c r="H344" t="s">
        <v>19</v>
      </c>
      <c r="I344" t="s">
        <v>19</v>
      </c>
      <c r="J344" t="s">
        <v>19</v>
      </c>
      <c r="K344" s="21" t="s">
        <v>607</v>
      </c>
      <c r="L344" s="5" t="s">
        <v>19</v>
      </c>
      <c r="M344" s="5" t="s">
        <v>19</v>
      </c>
      <c r="N344" s="5" t="s">
        <v>19</v>
      </c>
      <c r="O344" s="5" t="str">
        <f>HYPERLINK("http://www.lghausys.co.kr/popup/rn/download/downloadPopup.jsp?from=plwindow&amp;uu=/upload/window/REPORT/LGH-WA14-133.pdf","2등급")</f>
        <v>2등급</v>
      </c>
      <c r="P344" s="5" t="s">
        <v>19</v>
      </c>
      <c r="Q344" s="5" t="s">
        <v>19</v>
      </c>
      <c r="R344" s="5" t="s">
        <v>19</v>
      </c>
      <c r="S344" s="5" t="s">
        <v>19</v>
      </c>
      <c r="T344" s="5" t="s">
        <v>19</v>
      </c>
      <c r="U344" s="5" t="s">
        <v>19</v>
      </c>
      <c r="V344" s="5" t="s">
        <v>19</v>
      </c>
      <c r="W344" s="5" t="s">
        <v>152</v>
      </c>
      <c r="X344" s="5">
        <v>0.92200000000000004</v>
      </c>
    </row>
    <row r="345" spans="1:24">
      <c r="A345" t="s">
        <v>19</v>
      </c>
      <c r="B345" t="s">
        <v>124</v>
      </c>
      <c r="C345" t="s">
        <v>31</v>
      </c>
      <c r="D345" t="s">
        <v>25</v>
      </c>
      <c r="E345" t="s">
        <v>19</v>
      </c>
      <c r="F345" t="s">
        <v>19</v>
      </c>
      <c r="G345" t="s">
        <v>19</v>
      </c>
      <c r="H345" t="s">
        <v>25</v>
      </c>
      <c r="I345" t="s">
        <v>19</v>
      </c>
      <c r="J345" t="s">
        <v>19</v>
      </c>
      <c r="K345" s="21" t="s">
        <v>607</v>
      </c>
      <c r="L345" s="5" t="s">
        <v>19</v>
      </c>
      <c r="M345" s="5" t="s">
        <v>19</v>
      </c>
      <c r="N345" s="5" t="s">
        <v>19</v>
      </c>
      <c r="O345" s="5" t="str">
        <f>HYPERLINK("http://www.lghausys.co.kr/popup/rn/download/downloadPopup.jsp?from=plwindow&amp;uu=/upload/window/REPORT/LGH-WA14-135.pdf","1등급")</f>
        <v>1등급</v>
      </c>
      <c r="P345" s="5" t="str">
        <f>HYPERLINK("http://www.lghausys.co.kr/popup/rn/download/downloadPopup.jsp?from=plwindow&amp;uu=/upload/window/REPORT/LGH-WA14-135.pdf","50등급")</f>
        <v>50등급</v>
      </c>
      <c r="Q345" s="5" t="str">
        <f>HYPERLINK("http://www.lghausys.co.kr/popup/rn/download/downloadPopup.jsp?from=plwindow&amp;uu=/upload/window/REPORT/LGH-WA14-135.pdf","260등급")</f>
        <v>260등급</v>
      </c>
      <c r="R345" s="5" t="s">
        <v>19</v>
      </c>
      <c r="S345" s="5" t="s">
        <v>19</v>
      </c>
      <c r="T345" s="5" t="s">
        <v>19</v>
      </c>
      <c r="U345" s="5" t="s">
        <v>19</v>
      </c>
      <c r="V345" s="5" t="s">
        <v>19</v>
      </c>
      <c r="W345" s="5" t="s">
        <v>152</v>
      </c>
      <c r="X345" s="5">
        <v>2.012</v>
      </c>
    </row>
    <row r="346" spans="1:24">
      <c r="A346" t="s">
        <v>19</v>
      </c>
      <c r="B346" t="s">
        <v>83</v>
      </c>
      <c r="C346" t="s">
        <v>31</v>
      </c>
      <c r="D346" t="s">
        <v>28</v>
      </c>
      <c r="E346" t="s">
        <v>19</v>
      </c>
      <c r="F346" t="s">
        <v>19</v>
      </c>
      <c r="G346" t="s">
        <v>19</v>
      </c>
      <c r="H346" t="s">
        <v>19</v>
      </c>
      <c r="I346" t="s">
        <v>19</v>
      </c>
      <c r="J346" t="s">
        <v>19</v>
      </c>
      <c r="K346" s="21" t="s">
        <v>607</v>
      </c>
      <c r="L346" s="5" t="s">
        <v>19</v>
      </c>
      <c r="M346" s="5" t="s">
        <v>19</v>
      </c>
      <c r="N346" s="5" t="s">
        <v>19</v>
      </c>
      <c r="O346" s="5" t="str">
        <f>HYPERLINK("http://www.lghausys.co.kr/popup/rn/download/downloadPopup.jsp?from=plwindow&amp;uu=/upload/window/REPORT/LGH-WA14-137.pdf","2등급")</f>
        <v>2등급</v>
      </c>
      <c r="P346" s="5" t="s">
        <v>19</v>
      </c>
      <c r="Q346" s="5" t="s">
        <v>19</v>
      </c>
      <c r="R346" s="5" t="s">
        <v>19</v>
      </c>
      <c r="S346" s="5" t="s">
        <v>19</v>
      </c>
      <c r="T346" s="5" t="s">
        <v>19</v>
      </c>
      <c r="U346" s="5" t="s">
        <v>19</v>
      </c>
      <c r="V346" s="5" t="s">
        <v>19</v>
      </c>
      <c r="W346" s="5" t="s">
        <v>152</v>
      </c>
      <c r="X346" s="5">
        <v>2.778</v>
      </c>
    </row>
    <row r="347" spans="1:24">
      <c r="A347" t="s">
        <v>78</v>
      </c>
      <c r="B347" t="s">
        <v>19</v>
      </c>
      <c r="C347" t="s">
        <v>31</v>
      </c>
      <c r="D347" t="s">
        <v>32</v>
      </c>
      <c r="E347" t="s">
        <v>88</v>
      </c>
      <c r="F347" t="s">
        <v>19</v>
      </c>
      <c r="G347" t="s">
        <v>19</v>
      </c>
      <c r="H347" t="s">
        <v>19</v>
      </c>
      <c r="I347" t="s">
        <v>19</v>
      </c>
      <c r="J347" t="s">
        <v>19</v>
      </c>
      <c r="K347" s="21" t="s">
        <v>607</v>
      </c>
      <c r="L347" s="5" t="s">
        <v>19</v>
      </c>
      <c r="M347" s="5" t="s">
        <v>19</v>
      </c>
      <c r="N347" s="5" t="s">
        <v>19</v>
      </c>
      <c r="O347" s="5" t="str">
        <f>HYPERLINK("http://www.lghausys.co.kr/popup/rn/download/downloadPopup.jsp?from=plwindow&amp;uu=/upload/window/REPORT/LGH-WA14-147.pdf","1등급")</f>
        <v>1등급</v>
      </c>
      <c r="P347" s="5" t="s">
        <v>19</v>
      </c>
      <c r="Q347" s="5" t="s">
        <v>19</v>
      </c>
      <c r="R347" s="5" t="s">
        <v>19</v>
      </c>
      <c r="S347" s="5" t="s">
        <v>19</v>
      </c>
      <c r="T347" s="5" t="s">
        <v>19</v>
      </c>
      <c r="U347" s="5" t="s">
        <v>19</v>
      </c>
      <c r="V347" s="5" t="s">
        <v>19</v>
      </c>
      <c r="W347" s="5" t="s">
        <v>152</v>
      </c>
      <c r="X347" s="5">
        <v>1.9419999999999999</v>
      </c>
    </row>
    <row r="348" spans="1:24">
      <c r="A348" t="s">
        <v>27</v>
      </c>
      <c r="B348" t="s">
        <v>19</v>
      </c>
      <c r="C348" t="s">
        <v>31</v>
      </c>
      <c r="D348" t="s">
        <v>25</v>
      </c>
      <c r="E348" t="s">
        <v>88</v>
      </c>
      <c r="F348" t="s">
        <v>19</v>
      </c>
      <c r="G348" t="s">
        <v>19</v>
      </c>
      <c r="H348" t="s">
        <v>25</v>
      </c>
      <c r="I348" t="s">
        <v>19</v>
      </c>
      <c r="J348" t="s">
        <v>19</v>
      </c>
      <c r="K348" s="21" t="s">
        <v>607</v>
      </c>
      <c r="L348" s="5" t="s">
        <v>19</v>
      </c>
      <c r="M348" s="5" t="s">
        <v>19</v>
      </c>
      <c r="N348" s="5" t="s">
        <v>19</v>
      </c>
      <c r="O348" s="5" t="str">
        <f>HYPERLINK("http://www.lghausys.co.kr/popup/rn/download/downloadPopup.jsp?from=plwindow&amp;uu=/upload/window/REPORT/LGH-WA14-148.pdf","1등급")</f>
        <v>1등급</v>
      </c>
      <c r="P348" s="5" t="s">
        <v>19</v>
      </c>
      <c r="Q348" s="5" t="s">
        <v>19</v>
      </c>
      <c r="R348" s="5" t="s">
        <v>19</v>
      </c>
      <c r="S348" s="5" t="s">
        <v>19</v>
      </c>
      <c r="T348" s="5" t="s">
        <v>19</v>
      </c>
      <c r="U348" s="5" t="s">
        <v>19</v>
      </c>
      <c r="V348" s="5" t="s">
        <v>19</v>
      </c>
      <c r="W348" s="5" t="s">
        <v>152</v>
      </c>
      <c r="X348" s="5">
        <v>1.873</v>
      </c>
    </row>
    <row r="349" spans="1:24">
      <c r="A349" t="s">
        <v>18</v>
      </c>
      <c r="B349" t="s">
        <v>19</v>
      </c>
      <c r="C349" t="s">
        <v>31</v>
      </c>
      <c r="D349" t="s">
        <v>25</v>
      </c>
      <c r="E349" t="s">
        <v>19</v>
      </c>
      <c r="F349" t="s">
        <v>19</v>
      </c>
      <c r="G349" t="s">
        <v>19</v>
      </c>
      <c r="H349" t="s">
        <v>19</v>
      </c>
      <c r="I349" t="s">
        <v>19</v>
      </c>
      <c r="J349" t="s">
        <v>19</v>
      </c>
      <c r="K349" s="21" t="s">
        <v>607</v>
      </c>
      <c r="L349" s="5" t="s">
        <v>19</v>
      </c>
      <c r="M349" s="5" t="s">
        <v>19</v>
      </c>
      <c r="N349" s="5" t="s">
        <v>19</v>
      </c>
      <c r="O349" s="5" t="str">
        <f>HYPERLINK("http://www.lghausys.co.kr/popup/rn/download/downloadPopup.jsp?from=plwindow&amp;uu=/upload/window/REPORT/LGH-WA14-149.pdf","1등급")</f>
        <v>1등급</v>
      </c>
      <c r="P349" s="5" t="str">
        <f>HYPERLINK("http://www.lghausys.co.kr/popup/rn/download/downloadPopup.jsp?from=plwindow&amp;uu=/upload/window/REPORT/LGH-WA14-149.pdf","35등급")</f>
        <v>35등급</v>
      </c>
      <c r="Q349" s="5" t="str">
        <f>HYPERLINK("http://www.lghausys.co.kr/popup/rn/download/downloadPopup.jsp?from=plwindow&amp;uu=/upload/window/REPORT/LGH-WA14-149.pdf","200등급")</f>
        <v>200등급</v>
      </c>
      <c r="R349" s="5" t="s">
        <v>19</v>
      </c>
      <c r="S349" s="5" t="s">
        <v>19</v>
      </c>
      <c r="T349" s="5" t="s">
        <v>19</v>
      </c>
      <c r="U349" s="5" t="s">
        <v>19</v>
      </c>
      <c r="V349" s="5" t="s">
        <v>19</v>
      </c>
      <c r="W349" s="5" t="s">
        <v>152</v>
      </c>
      <c r="X349" s="5">
        <v>0.83400000000000007</v>
      </c>
    </row>
    <row r="350" spans="1:24">
      <c r="A350" t="s">
        <v>30</v>
      </c>
      <c r="B350" t="s">
        <v>19</v>
      </c>
      <c r="C350" t="s">
        <v>31</v>
      </c>
      <c r="D350" t="s">
        <v>25</v>
      </c>
      <c r="E350" t="s">
        <v>19</v>
      </c>
      <c r="F350" t="s">
        <v>19</v>
      </c>
      <c r="G350" t="s">
        <v>19</v>
      </c>
      <c r="H350" t="s">
        <v>28</v>
      </c>
      <c r="I350" t="s">
        <v>19</v>
      </c>
      <c r="J350" t="s">
        <v>19</v>
      </c>
      <c r="K350" s="21" t="s">
        <v>607</v>
      </c>
      <c r="L350" s="5" t="s">
        <v>19</v>
      </c>
      <c r="M350" s="5" t="s">
        <v>19</v>
      </c>
      <c r="N350" s="5" t="s">
        <v>19</v>
      </c>
      <c r="O350" s="5" t="s">
        <v>19</v>
      </c>
      <c r="P350" s="5" t="str">
        <f>HYPERLINK("http://www.lghausys.co.kr/popup/rn/download/downloadPopup.jsp?from=plwindow&amp;uu=/upload/window/REPORT/LGH-WA14-151.pdf","50등급")</f>
        <v>50등급</v>
      </c>
      <c r="Q350" s="5" t="str">
        <f>HYPERLINK("http://www.lghausys.co.kr/popup/rn/download/downloadPopup.jsp?from=plwindow&amp;uu=/upload/window/REPORT/LGH-WA14-151.pdf","300등급")</f>
        <v>300등급</v>
      </c>
      <c r="R350" s="5" t="s">
        <v>19</v>
      </c>
      <c r="S350" s="5" t="s">
        <v>19</v>
      </c>
      <c r="T350" s="5" t="s">
        <v>19</v>
      </c>
      <c r="U350" s="5" t="s">
        <v>19</v>
      </c>
      <c r="V350" s="5" t="s">
        <v>19</v>
      </c>
      <c r="W350" s="5" t="s">
        <v>152</v>
      </c>
      <c r="X350" s="5">
        <v>0.85299999999999998</v>
      </c>
    </row>
    <row r="351" spans="1:24">
      <c r="A351" t="s">
        <v>42</v>
      </c>
      <c r="B351" t="s">
        <v>43</v>
      </c>
      <c r="C351" t="s">
        <v>31</v>
      </c>
      <c r="D351" t="s">
        <v>28</v>
      </c>
      <c r="E351" t="s">
        <v>19</v>
      </c>
      <c r="F351" t="s">
        <v>19</v>
      </c>
      <c r="G351" t="s">
        <v>19</v>
      </c>
      <c r="H351" t="s">
        <v>19</v>
      </c>
      <c r="I351" t="s">
        <v>19</v>
      </c>
      <c r="J351" t="s">
        <v>19</v>
      </c>
      <c r="K351" s="21" t="s">
        <v>607</v>
      </c>
      <c r="L351" s="5" t="s">
        <v>19</v>
      </c>
      <c r="M351" s="5" t="s">
        <v>19</v>
      </c>
      <c r="N351" s="5" t="s">
        <v>19</v>
      </c>
      <c r="O351" s="5" t="str">
        <f>HYPERLINK("http://www.lghausys.co.kr/popup/rn/download/downloadPopup.jsp?from=plwindow&amp;uu=/upload/window/REPORT/LGH-WA14-155.pdf","1등급")</f>
        <v>1등급</v>
      </c>
      <c r="P351" s="5" t="s">
        <v>19</v>
      </c>
      <c r="Q351" s="5" t="s">
        <v>19</v>
      </c>
      <c r="R351" s="5" t="s">
        <v>19</v>
      </c>
      <c r="S351" s="5" t="s">
        <v>19</v>
      </c>
      <c r="T351" s="5" t="s">
        <v>19</v>
      </c>
      <c r="U351" s="5" t="s">
        <v>19</v>
      </c>
      <c r="V351" s="5" t="s">
        <v>19</v>
      </c>
      <c r="W351" s="5" t="s">
        <v>152</v>
      </c>
      <c r="X351" s="5">
        <v>0.99299999999999999</v>
      </c>
    </row>
    <row r="352" spans="1:24">
      <c r="A352" t="s">
        <v>19</v>
      </c>
      <c r="B352" t="s">
        <v>48</v>
      </c>
      <c r="C352" t="s">
        <v>31</v>
      </c>
      <c r="D352" t="s">
        <v>53</v>
      </c>
      <c r="E352" t="s">
        <v>19</v>
      </c>
      <c r="F352" t="s">
        <v>19</v>
      </c>
      <c r="G352" t="s">
        <v>19</v>
      </c>
      <c r="H352" t="s">
        <v>53</v>
      </c>
      <c r="I352" t="s">
        <v>19</v>
      </c>
      <c r="J352" t="s">
        <v>19</v>
      </c>
      <c r="K352" s="21" t="s">
        <v>607</v>
      </c>
      <c r="L352" s="5" t="s">
        <v>19</v>
      </c>
      <c r="M352" s="5" t="s">
        <v>19</v>
      </c>
      <c r="N352" s="5" t="s">
        <v>19</v>
      </c>
      <c r="O352" s="5" t="str">
        <f>HYPERLINK("http://www.lghausys.co.kr/popup/rn/download/downloadPopup.jsp?from=plwindow&amp;uu=/upload/window/REPORT/LGH-WA14-174.pdf","1등급")</f>
        <v>1등급</v>
      </c>
      <c r="P352" s="5" t="s">
        <v>19</v>
      </c>
      <c r="Q352" s="5" t="s">
        <v>19</v>
      </c>
      <c r="R352" s="5" t="s">
        <v>19</v>
      </c>
      <c r="S352" s="5" t="s">
        <v>19</v>
      </c>
      <c r="T352" s="5" t="s">
        <v>19</v>
      </c>
      <c r="U352" s="5" t="s">
        <v>19</v>
      </c>
      <c r="V352" s="5" t="s">
        <v>19</v>
      </c>
      <c r="W352" s="5" t="s">
        <v>152</v>
      </c>
      <c r="X352" s="5">
        <v>0.998</v>
      </c>
    </row>
    <row r="353" spans="1:24">
      <c r="A353" t="s">
        <v>19</v>
      </c>
      <c r="B353" t="s">
        <v>83</v>
      </c>
      <c r="C353" t="s">
        <v>31</v>
      </c>
      <c r="D353" t="s">
        <v>21</v>
      </c>
      <c r="E353" t="s">
        <v>19</v>
      </c>
      <c r="F353" t="s">
        <v>19</v>
      </c>
      <c r="G353" t="s">
        <v>19</v>
      </c>
      <c r="H353" t="s">
        <v>19</v>
      </c>
      <c r="I353" t="s">
        <v>19</v>
      </c>
      <c r="J353" t="s">
        <v>19</v>
      </c>
      <c r="K353" s="21" t="s">
        <v>607</v>
      </c>
      <c r="L353" s="5" t="s">
        <v>19</v>
      </c>
      <c r="M353" s="5" t="s">
        <v>19</v>
      </c>
      <c r="N353" s="5" t="s">
        <v>19</v>
      </c>
      <c r="O353" s="5" t="str">
        <f>HYPERLINK("http://www.lghausys.co.kr/popup/rn/download/downloadPopup.jsp?from=plwindow&amp;uu=/upload/window/REPORT/LGH-WA14-188.pdf","2등급")</f>
        <v>2등급</v>
      </c>
      <c r="P353" s="5" t="s">
        <v>19</v>
      </c>
      <c r="Q353" s="5" t="s">
        <v>19</v>
      </c>
      <c r="R353" s="5" t="s">
        <v>19</v>
      </c>
      <c r="S353" s="5" t="s">
        <v>19</v>
      </c>
      <c r="T353" s="5" t="s">
        <v>19</v>
      </c>
      <c r="U353" s="5" t="s">
        <v>19</v>
      </c>
      <c r="V353" s="5" t="s">
        <v>19</v>
      </c>
      <c r="W353" s="5" t="s">
        <v>152</v>
      </c>
      <c r="X353" s="5">
        <v>0.77300000000000002</v>
      </c>
    </row>
    <row r="354" spans="1:24">
      <c r="A354" t="s">
        <v>19</v>
      </c>
      <c r="B354" t="s">
        <v>83</v>
      </c>
      <c r="C354" t="s">
        <v>31</v>
      </c>
      <c r="D354" t="s">
        <v>21</v>
      </c>
      <c r="E354" t="s">
        <v>19</v>
      </c>
      <c r="F354" t="s">
        <v>19</v>
      </c>
      <c r="G354" t="s">
        <v>19</v>
      </c>
      <c r="H354" t="s">
        <v>19</v>
      </c>
      <c r="I354" t="s">
        <v>19</v>
      </c>
      <c r="J354" t="s">
        <v>19</v>
      </c>
      <c r="K354" s="21" t="s">
        <v>607</v>
      </c>
      <c r="L354" s="5" t="s">
        <v>19</v>
      </c>
      <c r="M354" s="5" t="s">
        <v>19</v>
      </c>
      <c r="N354" s="5" t="s">
        <v>19</v>
      </c>
      <c r="O354" s="5" t="str">
        <f>HYPERLINK("http://www.lghausys.co.kr/popup/rn/download/downloadPopup.jsp?from=plwindow&amp;uu=/upload/window/REPORT/LGH-WA14-189.pdf","2등급")</f>
        <v>2등급</v>
      </c>
      <c r="P354" s="5" t="s">
        <v>19</v>
      </c>
      <c r="Q354" s="5" t="s">
        <v>19</v>
      </c>
      <c r="R354" s="5" t="s">
        <v>19</v>
      </c>
      <c r="S354" s="5" t="s">
        <v>19</v>
      </c>
      <c r="T354" s="5" t="s">
        <v>19</v>
      </c>
      <c r="U354" s="5" t="s">
        <v>19</v>
      </c>
      <c r="V354" s="5" t="s">
        <v>19</v>
      </c>
      <c r="W354" s="5" t="s">
        <v>152</v>
      </c>
      <c r="X354" s="5">
        <v>0.88700000000000001</v>
      </c>
    </row>
    <row r="355" spans="1:24">
      <c r="A355" t="s">
        <v>19</v>
      </c>
      <c r="B355" t="s">
        <v>82</v>
      </c>
      <c r="C355" t="s">
        <v>31</v>
      </c>
      <c r="D355" t="s">
        <v>28</v>
      </c>
      <c r="E355" t="s">
        <v>19</v>
      </c>
      <c r="F355" t="s">
        <v>19</v>
      </c>
      <c r="G355" t="s">
        <v>19</v>
      </c>
      <c r="H355" t="s">
        <v>19</v>
      </c>
      <c r="I355" t="s">
        <v>19</v>
      </c>
      <c r="J355" t="s">
        <v>19</v>
      </c>
      <c r="K355" s="21" t="s">
        <v>607</v>
      </c>
      <c r="L355" s="5" t="s">
        <v>19</v>
      </c>
      <c r="M355" s="5" t="s">
        <v>19</v>
      </c>
      <c r="N355" s="5" t="s">
        <v>19</v>
      </c>
      <c r="O355" s="5" t="str">
        <f>HYPERLINK("http://www.lghausys.co.kr/popup/rn/download/downloadPopup.jsp?from=plwindow&amp;uu=/upload/window/REPORT/LGH-WA14-213.pdf","1등급")</f>
        <v>1등급</v>
      </c>
      <c r="P355" s="5" t="s">
        <v>19</v>
      </c>
      <c r="Q355" s="5" t="s">
        <v>19</v>
      </c>
      <c r="R355" s="5" t="s">
        <v>19</v>
      </c>
      <c r="S355" s="5" t="s">
        <v>19</v>
      </c>
      <c r="T355" s="5" t="s">
        <v>19</v>
      </c>
      <c r="U355" s="5" t="s">
        <v>19</v>
      </c>
      <c r="V355" s="5" t="s">
        <v>19</v>
      </c>
      <c r="W355" s="5" t="s">
        <v>152</v>
      </c>
      <c r="X355" s="5">
        <v>0.89400000000000002</v>
      </c>
    </row>
    <row r="356" spans="1:24">
      <c r="A356" t="s">
        <v>42</v>
      </c>
      <c r="B356" t="s">
        <v>43</v>
      </c>
      <c r="C356" t="s">
        <v>31</v>
      </c>
      <c r="D356" t="s">
        <v>41</v>
      </c>
      <c r="E356" t="s">
        <v>19</v>
      </c>
      <c r="F356" t="s">
        <v>19</v>
      </c>
      <c r="G356" t="s">
        <v>19</v>
      </c>
      <c r="H356" t="s">
        <v>19</v>
      </c>
      <c r="I356" t="s">
        <v>19</v>
      </c>
      <c r="J356" t="s">
        <v>19</v>
      </c>
      <c r="K356" s="21" t="s">
        <v>607</v>
      </c>
      <c r="L356" s="5" t="s">
        <v>19</v>
      </c>
      <c r="M356" s="5" t="s">
        <v>19</v>
      </c>
      <c r="N356" s="5" t="s">
        <v>19</v>
      </c>
      <c r="O356" s="5" t="str">
        <f>HYPERLINK("http://www.lghausys.co.kr/popup/rn/download/downloadPopup.jsp?from=plwindow&amp;uu=/upload/window/REPORT/LGH-WA15-002.pdf","1등급")</f>
        <v>1등급</v>
      </c>
      <c r="P356" s="5" t="s">
        <v>19</v>
      </c>
      <c r="Q356" s="5" t="s">
        <v>19</v>
      </c>
      <c r="R356" s="5" t="s">
        <v>19</v>
      </c>
      <c r="S356" s="5" t="s">
        <v>19</v>
      </c>
      <c r="T356" s="5" t="s">
        <v>19</v>
      </c>
      <c r="U356" s="5" t="s">
        <v>19</v>
      </c>
      <c r="V356" s="5" t="s">
        <v>19</v>
      </c>
      <c r="W356" s="5" t="s">
        <v>152</v>
      </c>
      <c r="X356" s="5">
        <v>1.379</v>
      </c>
    </row>
    <row r="357" spans="1:24">
      <c r="A357" t="s">
        <v>125</v>
      </c>
      <c r="B357" t="s">
        <v>19</v>
      </c>
      <c r="C357" t="s">
        <v>31</v>
      </c>
      <c r="D357" t="s">
        <v>126</v>
      </c>
      <c r="E357" t="s">
        <v>19</v>
      </c>
      <c r="F357" t="s">
        <v>19</v>
      </c>
      <c r="G357" t="s">
        <v>19</v>
      </c>
      <c r="H357" t="s">
        <v>19</v>
      </c>
      <c r="I357" t="s">
        <v>19</v>
      </c>
      <c r="J357" t="s">
        <v>19</v>
      </c>
      <c r="K357" s="21" t="s">
        <v>607</v>
      </c>
      <c r="L357" s="5" t="s">
        <v>19</v>
      </c>
      <c r="M357" s="5" t="s">
        <v>19</v>
      </c>
      <c r="N357" s="5" t="s">
        <v>19</v>
      </c>
      <c r="O357" s="5" t="str">
        <f>HYPERLINK("http://www.lghausys.co.kr/popup/rn/download/downloadPopup.jsp?from=plwindow&amp;uu=/upload/window/REPORT/LGH-WA15-013.pdf","2등급")</f>
        <v>2등급</v>
      </c>
      <c r="P357" s="5" t="str">
        <f>HYPERLINK("http://www.lghausys.co.kr/popup/rn/download/downloadPopup.jsp?from=plwindow&amp;uu=/upload/window/REPORT/LGH-WA15-013.pdf","15등급")</f>
        <v>15등급</v>
      </c>
      <c r="Q357" s="5" t="str">
        <f>HYPERLINK("http://www.lghausys.co.kr/popup/rn/download/downloadPopup.jsp?from=plwindow&amp;uu=/upload/window/REPORT/LGH-WA15-013.pdf","240등급")</f>
        <v>240등급</v>
      </c>
      <c r="R357" s="5" t="s">
        <v>19</v>
      </c>
      <c r="S357" s="5" t="s">
        <v>19</v>
      </c>
      <c r="T357" s="5" t="s">
        <v>19</v>
      </c>
      <c r="U357" s="5" t="s">
        <v>19</v>
      </c>
      <c r="V357" s="5" t="s">
        <v>19</v>
      </c>
      <c r="W357" s="5" t="s">
        <v>152</v>
      </c>
      <c r="X357" s="5">
        <v>0.8909999999999999</v>
      </c>
    </row>
    <row r="358" spans="1:24">
      <c r="A358" t="s">
        <v>30</v>
      </c>
      <c r="B358" t="s">
        <v>19</v>
      </c>
      <c r="C358" t="s">
        <v>31</v>
      </c>
      <c r="D358" t="s">
        <v>28</v>
      </c>
      <c r="E358" t="s">
        <v>19</v>
      </c>
      <c r="F358" t="s">
        <v>19</v>
      </c>
      <c r="G358" t="s">
        <v>19</v>
      </c>
      <c r="H358" t="s">
        <v>25</v>
      </c>
      <c r="I358" t="s">
        <v>19</v>
      </c>
      <c r="J358" t="s">
        <v>19</v>
      </c>
      <c r="K358" s="21" t="s">
        <v>607</v>
      </c>
      <c r="L358" s="5" t="s">
        <v>19</v>
      </c>
      <c r="M358" s="5" t="s">
        <v>19</v>
      </c>
      <c r="N358" s="5" t="s">
        <v>19</v>
      </c>
      <c r="O358" s="5" t="str">
        <f>HYPERLINK("http://www.lghausys.co.kr/popup/rn/download/downloadPopup.jsp?from=plwindow&amp;uu=/upload/window/REPORT/LGH-WA15-019.pdf","1등급")</f>
        <v>1등급</v>
      </c>
      <c r="P358" s="5" t="str">
        <f>HYPERLINK("http://www.lghausys.co.kr/popup/rn/download/downloadPopup.jsp?from=plwindow&amp;uu=/upload/window/REPORT/LGH-WA15-019.pdf","50등급")</f>
        <v>50등급</v>
      </c>
      <c r="Q358" s="5" t="str">
        <f>HYPERLINK("http://www.lghausys.co.kr/popup/rn/download/downloadPopup.jsp?from=plwindow&amp;uu=/upload/window/REPORT/LGH-WA15-019.pdf","400등급")</f>
        <v>400등급</v>
      </c>
      <c r="R358" s="5" t="s">
        <v>19</v>
      </c>
      <c r="S358" s="5" t="s">
        <v>19</v>
      </c>
      <c r="T358" s="5" t="s">
        <v>19</v>
      </c>
      <c r="U358" s="5" t="s">
        <v>19</v>
      </c>
      <c r="V358" s="5" t="s">
        <v>19</v>
      </c>
      <c r="W358" s="5" t="s">
        <v>152</v>
      </c>
      <c r="X358" s="5">
        <v>0.80900000000000005</v>
      </c>
    </row>
    <row r="359" spans="1:24">
      <c r="A359" t="s">
        <v>19</v>
      </c>
      <c r="B359" t="s">
        <v>83</v>
      </c>
      <c r="C359" t="s">
        <v>31</v>
      </c>
      <c r="D359" t="s">
        <v>32</v>
      </c>
      <c r="E359" t="s">
        <v>19</v>
      </c>
      <c r="F359" t="s">
        <v>19</v>
      </c>
      <c r="G359" t="s">
        <v>19</v>
      </c>
      <c r="H359" t="s">
        <v>19</v>
      </c>
      <c r="I359" t="s">
        <v>19</v>
      </c>
      <c r="J359" t="s">
        <v>19</v>
      </c>
      <c r="K359" s="21" t="s">
        <v>607</v>
      </c>
      <c r="L359" s="5" t="s">
        <v>19</v>
      </c>
      <c r="M359" s="5" t="s">
        <v>19</v>
      </c>
      <c r="N359" s="5" t="s">
        <v>19</v>
      </c>
      <c r="O359" s="5" t="str">
        <f>HYPERLINK("http://www.lghausys.co.kr/popup/rn/download/downloadPopup.jsp?from=plwindow&amp;uu=/upload/window/REPORT/LGH-WA15-021.pdf","2등급")</f>
        <v>2등급</v>
      </c>
      <c r="P359" s="5" t="s">
        <v>19</v>
      </c>
      <c r="Q359" s="5" t="s">
        <v>19</v>
      </c>
      <c r="R359" s="5" t="s">
        <v>19</v>
      </c>
      <c r="S359" s="5" t="s">
        <v>19</v>
      </c>
      <c r="T359" s="5" t="s">
        <v>19</v>
      </c>
      <c r="U359" s="5" t="s">
        <v>19</v>
      </c>
      <c r="V359" s="5" t="s">
        <v>19</v>
      </c>
      <c r="W359" s="5" t="s">
        <v>152</v>
      </c>
      <c r="X359" s="5">
        <v>1.3680000000000001</v>
      </c>
    </row>
    <row r="360" spans="1:24">
      <c r="A360" t="s">
        <v>30</v>
      </c>
      <c r="B360" t="s">
        <v>19</v>
      </c>
      <c r="C360" t="s">
        <v>31</v>
      </c>
      <c r="D360" t="s">
        <v>66</v>
      </c>
      <c r="E360" t="s">
        <v>19</v>
      </c>
      <c r="F360" t="s">
        <v>19</v>
      </c>
      <c r="G360" t="s">
        <v>19</v>
      </c>
      <c r="H360" t="s">
        <v>41</v>
      </c>
      <c r="I360" t="s">
        <v>19</v>
      </c>
      <c r="J360" t="s">
        <v>19</v>
      </c>
      <c r="K360" s="21" t="s">
        <v>607</v>
      </c>
      <c r="L360" s="5" t="s">
        <v>19</v>
      </c>
      <c r="M360" s="5" t="s">
        <v>19</v>
      </c>
      <c r="N360" s="5" t="s">
        <v>19</v>
      </c>
      <c r="O360" s="5" t="str">
        <f>HYPERLINK("http://www.lghausys.co.kr/popup/rn/download/downloadPopup.jsp?from=plwindow&amp;uu=/upload/window/REPORT/LGH-WA15-022.pdf","1등급")</f>
        <v>1등급</v>
      </c>
      <c r="P360" s="5" t="str">
        <f>HYPERLINK("http://www.lghausys.co.kr/popup/rn/download/downloadPopup.jsp?from=plwindow&amp;uu=/upload/window/REPORT/LGH-WA15-022.pdf","50등급")</f>
        <v>50등급</v>
      </c>
      <c r="Q360" s="5" t="str">
        <f>HYPERLINK("http://www.lghausys.co.kr/popup/rn/download/downloadPopup.jsp?from=plwindow&amp;uu=/upload/window/REPORT/LGH-WA15-022.pdf","400등급")</f>
        <v>400등급</v>
      </c>
      <c r="R360" s="5" t="s">
        <v>19</v>
      </c>
      <c r="S360" s="5" t="s">
        <v>19</v>
      </c>
      <c r="T360" s="5" t="s">
        <v>19</v>
      </c>
      <c r="U360" s="5" t="s">
        <v>19</v>
      </c>
      <c r="V360" s="5" t="s">
        <v>19</v>
      </c>
      <c r="W360" s="5" t="s">
        <v>152</v>
      </c>
      <c r="X360" s="5">
        <v>1.252</v>
      </c>
    </row>
    <row r="361" spans="1:24">
      <c r="A361" t="s">
        <v>27</v>
      </c>
      <c r="B361" t="s">
        <v>19</v>
      </c>
      <c r="C361" t="s">
        <v>31</v>
      </c>
      <c r="D361" t="s">
        <v>66</v>
      </c>
      <c r="E361" t="s">
        <v>67</v>
      </c>
      <c r="F361" t="s">
        <v>19</v>
      </c>
      <c r="G361" t="s">
        <v>19</v>
      </c>
      <c r="H361" t="s">
        <v>68</v>
      </c>
      <c r="I361" t="s">
        <v>19</v>
      </c>
      <c r="J361" t="s">
        <v>19</v>
      </c>
      <c r="K361" s="21" t="s">
        <v>607</v>
      </c>
      <c r="L361" s="5" t="s">
        <v>19</v>
      </c>
      <c r="M361" s="5" t="s">
        <v>19</v>
      </c>
      <c r="N361" s="5" t="s">
        <v>19</v>
      </c>
      <c r="O361" s="5" t="str">
        <f>HYPERLINK("http://www.lghausys.co.kr/popup/rn/download/downloadPopup.jsp?from=plwindow&amp;uu=/upload/window/REPORT/LGH-WA15-024.pdf","1등급")</f>
        <v>1등급</v>
      </c>
      <c r="P361" s="5" t="str">
        <f>HYPERLINK("http://www.lghausys.co.kr/popup/rn/download/downloadPopup.jsp?from=plwindow&amp;uu=/upload/window/REPORT/LGH-WA15-024.pdf","35등급")</f>
        <v>35등급</v>
      </c>
      <c r="Q361" s="5" t="str">
        <f>HYPERLINK("http://www.lghausys.co.kr/popup/rn/download/downloadPopup.jsp?from=plwindow&amp;uu=/upload/window/REPORT/LGH-WA15-024.pdf","320등급")</f>
        <v>320등급</v>
      </c>
      <c r="R361" s="5" t="s">
        <v>19</v>
      </c>
      <c r="S361" s="5" t="s">
        <v>19</v>
      </c>
      <c r="T361" s="5" t="s">
        <v>19</v>
      </c>
      <c r="U361" s="5" t="s">
        <v>19</v>
      </c>
      <c r="V361" s="5" t="s">
        <v>19</v>
      </c>
      <c r="W361" s="5" t="s">
        <v>152</v>
      </c>
      <c r="X361" s="5">
        <v>0.89700000000000002</v>
      </c>
    </row>
    <row r="362" spans="1:24">
      <c r="A362" t="s">
        <v>57</v>
      </c>
      <c r="B362" t="s">
        <v>58</v>
      </c>
      <c r="C362" t="s">
        <v>31</v>
      </c>
      <c r="D362" t="s">
        <v>56</v>
      </c>
      <c r="E362" t="s">
        <v>19</v>
      </c>
      <c r="F362" t="s">
        <v>19</v>
      </c>
      <c r="G362" t="s">
        <v>19</v>
      </c>
      <c r="H362" t="s">
        <v>19</v>
      </c>
      <c r="I362" t="s">
        <v>19</v>
      </c>
      <c r="J362" t="s">
        <v>19</v>
      </c>
      <c r="K362" s="21" t="s">
        <v>607</v>
      </c>
      <c r="L362" s="5" t="s">
        <v>19</v>
      </c>
      <c r="M362" s="5" t="s">
        <v>19</v>
      </c>
      <c r="N362" s="5" t="s">
        <v>19</v>
      </c>
      <c r="O362" s="5" t="str">
        <f>HYPERLINK("http://www.lghausys.co.kr/popup/rn/download/downloadPopup.jsp?from=plwindow&amp;uu=/upload/window/REPORT/LGH-WA15-043.pdf","1등급")</f>
        <v>1등급</v>
      </c>
      <c r="P362" s="5" t="str">
        <f>HYPERLINK("http://www.lghausys.co.kr/popup/rn/download/downloadPopup.jsp?from=plwindow&amp;uu=/upload/window/REPORT/LGH-WA15-043.pdf","50등급")</f>
        <v>50등급</v>
      </c>
      <c r="Q362" s="5" t="str">
        <f>HYPERLINK("http://www.lghausys.co.kr/popup/rn/download/downloadPopup.jsp?from=plwindow&amp;uu=/upload/window/REPORT/LGH-WA15-043.pdf","180등급")</f>
        <v>180등급</v>
      </c>
      <c r="R362" s="5" t="s">
        <v>19</v>
      </c>
      <c r="S362" s="5" t="s">
        <v>19</v>
      </c>
      <c r="T362" s="5" t="s">
        <v>19</v>
      </c>
      <c r="U362" s="5" t="s">
        <v>19</v>
      </c>
      <c r="V362" s="5" t="s">
        <v>19</v>
      </c>
      <c r="W362" s="5" t="s">
        <v>152</v>
      </c>
      <c r="X362" s="5">
        <v>0.81299999999999994</v>
      </c>
    </row>
    <row r="363" spans="1:24">
      <c r="A363" t="s">
        <v>52</v>
      </c>
      <c r="B363" t="s">
        <v>19</v>
      </c>
      <c r="C363" t="s">
        <v>31</v>
      </c>
      <c r="D363" t="s">
        <v>25</v>
      </c>
      <c r="E363" t="s">
        <v>19</v>
      </c>
      <c r="F363" t="s">
        <v>19</v>
      </c>
      <c r="G363" t="s">
        <v>19</v>
      </c>
      <c r="H363" t="s">
        <v>25</v>
      </c>
      <c r="I363" t="s">
        <v>19</v>
      </c>
      <c r="J363" t="s">
        <v>19</v>
      </c>
      <c r="K363" s="21" t="s">
        <v>607</v>
      </c>
      <c r="L363" s="5" t="s">
        <v>19</v>
      </c>
      <c r="M363" s="5" t="s">
        <v>19</v>
      </c>
      <c r="N363" s="5" t="s">
        <v>19</v>
      </c>
      <c r="O363" s="5" t="str">
        <f>HYPERLINK("http://www.lghausys.co.kr/popup/rn/download/downloadPopup.jsp?from=plwindow&amp;uu=/upload/window/REPORT/LGH-WA15-079.pdf","1등급")</f>
        <v>1등급</v>
      </c>
      <c r="P363" s="5" t="str">
        <f>HYPERLINK("http://www.lghausys.co.kr/popup/rn/download/downloadPopup.jsp?from=plwindow&amp;uu=/upload/window/REPORT/LGH-WA15-079.pdf","50등급")</f>
        <v>50등급</v>
      </c>
      <c r="Q363" s="5" t="str">
        <f>HYPERLINK("http://www.lghausys.co.kr/popup/rn/download/downloadPopup.jsp?from=plwindow&amp;uu=/upload/window/REPORT/LGH-WA15-079.pdf","400등급")</f>
        <v>400등급</v>
      </c>
      <c r="R363" s="5" t="s">
        <v>19</v>
      </c>
      <c r="S363" s="5" t="s">
        <v>19</v>
      </c>
      <c r="T363" s="5" t="s">
        <v>19</v>
      </c>
      <c r="U363" s="5" t="s">
        <v>19</v>
      </c>
      <c r="V363" s="5" t="s">
        <v>19</v>
      </c>
      <c r="W363" s="5" t="s">
        <v>152</v>
      </c>
      <c r="X363" s="5">
        <v>1.4219999999999999</v>
      </c>
    </row>
    <row r="364" spans="1:24">
      <c r="A364" t="s">
        <v>69</v>
      </c>
      <c r="B364" t="s">
        <v>19</v>
      </c>
      <c r="C364" t="s">
        <v>31</v>
      </c>
      <c r="D364" t="s">
        <v>32</v>
      </c>
      <c r="E364" t="s">
        <v>19</v>
      </c>
      <c r="F364" t="s">
        <v>19</v>
      </c>
      <c r="G364" t="s">
        <v>19</v>
      </c>
      <c r="H364" t="s">
        <v>19</v>
      </c>
      <c r="I364" t="s">
        <v>19</v>
      </c>
      <c r="J364" t="s">
        <v>19</v>
      </c>
      <c r="K364" s="21" t="s">
        <v>607</v>
      </c>
      <c r="L364" s="5" t="s">
        <v>19</v>
      </c>
      <c r="M364" s="5" t="s">
        <v>19</v>
      </c>
      <c r="N364" s="5" t="s">
        <v>19</v>
      </c>
      <c r="O364" s="5" t="str">
        <f>HYPERLINK("http://www.lghausys.co.kr/popup/rn/download/downloadPopup.jsp?from=plwindow&amp;uu=/upload/window/REPORT/LGH-WA15-082.pdf","1등급")</f>
        <v>1등급</v>
      </c>
      <c r="P364" s="5" t="str">
        <f>HYPERLINK("http://www.lghausys.co.kr/popup/rn/download/downloadPopup.jsp?from=plwindow&amp;uu=/upload/window/REPORT/LGH-WA15-082.pdf","50등급")</f>
        <v>50등급</v>
      </c>
      <c r="Q364" s="5" t="str">
        <f>HYPERLINK("http://www.lghausys.co.kr/popup/rn/download/downloadPopup.jsp?from=plwindow&amp;uu=/upload/window/REPORT/LGH-WA15-082.pdf","300등급")</f>
        <v>300등급</v>
      </c>
      <c r="R364" s="5" t="s">
        <v>19</v>
      </c>
      <c r="S364" s="5" t="s">
        <v>19</v>
      </c>
      <c r="T364" s="5" t="s">
        <v>19</v>
      </c>
      <c r="U364" s="5" t="s">
        <v>19</v>
      </c>
      <c r="V364" s="5" t="s">
        <v>19</v>
      </c>
      <c r="W364" s="5" t="s">
        <v>152</v>
      </c>
      <c r="X364" s="5">
        <v>1.2330000000000001</v>
      </c>
    </row>
    <row r="365" spans="1:24">
      <c r="A365" t="s">
        <v>19</v>
      </c>
      <c r="B365" t="s">
        <v>83</v>
      </c>
      <c r="C365" t="s">
        <v>31</v>
      </c>
      <c r="D365" t="s">
        <v>25</v>
      </c>
      <c r="E365" t="s">
        <v>19</v>
      </c>
      <c r="F365" t="s">
        <v>19</v>
      </c>
      <c r="G365" t="s">
        <v>19</v>
      </c>
      <c r="H365" t="s">
        <v>19</v>
      </c>
      <c r="I365" t="s">
        <v>19</v>
      </c>
      <c r="J365" t="s">
        <v>19</v>
      </c>
      <c r="K365" s="21" t="s">
        <v>607</v>
      </c>
      <c r="L365" s="5" t="s">
        <v>19</v>
      </c>
      <c r="M365" s="5" t="s">
        <v>19</v>
      </c>
      <c r="N365" s="5" t="s">
        <v>19</v>
      </c>
      <c r="O365" s="5" t="str">
        <f>HYPERLINK("http://www.lghausys.co.kr/popup/rn/download/downloadPopup.jsp?from=plwindow&amp;uu=/upload/window/REPORT/LGH-WA15-100.pdf","2등급")</f>
        <v>2등급</v>
      </c>
      <c r="P365" s="5" t="s">
        <v>19</v>
      </c>
      <c r="Q365" s="5" t="s">
        <v>19</v>
      </c>
      <c r="R365" s="5" t="s">
        <v>19</v>
      </c>
      <c r="S365" s="5" t="s">
        <v>19</v>
      </c>
      <c r="T365" s="5" t="s">
        <v>19</v>
      </c>
      <c r="U365" s="5" t="s">
        <v>19</v>
      </c>
      <c r="V365" s="5" t="s">
        <v>19</v>
      </c>
      <c r="W365" s="5" t="s">
        <v>152</v>
      </c>
      <c r="X365" s="5">
        <v>0.96200000000000008</v>
      </c>
    </row>
    <row r="366" spans="1:24">
      <c r="A366" t="s">
        <v>19</v>
      </c>
      <c r="B366" t="s">
        <v>83</v>
      </c>
      <c r="C366" t="s">
        <v>31</v>
      </c>
      <c r="D366" t="s">
        <v>28</v>
      </c>
      <c r="E366" t="s">
        <v>19</v>
      </c>
      <c r="F366" t="s">
        <v>19</v>
      </c>
      <c r="G366" t="s">
        <v>19</v>
      </c>
      <c r="H366" t="s">
        <v>19</v>
      </c>
      <c r="I366" t="s">
        <v>19</v>
      </c>
      <c r="J366" t="s">
        <v>19</v>
      </c>
      <c r="K366" s="21" t="s">
        <v>607</v>
      </c>
      <c r="L366" s="5" t="s">
        <v>19</v>
      </c>
      <c r="M366" s="5" t="s">
        <v>19</v>
      </c>
      <c r="N366" s="5" t="s">
        <v>19</v>
      </c>
      <c r="O366" s="5" t="str">
        <f>HYPERLINK("http://www.lghausys.co.kr/popup/rn/download/downloadPopup.jsp?from=plwindow&amp;uu=/upload/window/REPORT/LGH-WA15-101.pdf","2등급")</f>
        <v>2등급</v>
      </c>
      <c r="P366" s="5" t="s">
        <v>19</v>
      </c>
      <c r="Q366" s="5" t="s">
        <v>19</v>
      </c>
      <c r="R366" s="5" t="s">
        <v>19</v>
      </c>
      <c r="S366" s="5" t="s">
        <v>19</v>
      </c>
      <c r="T366" s="5" t="s">
        <v>19</v>
      </c>
      <c r="U366" s="5" t="s">
        <v>19</v>
      </c>
      <c r="V366" s="5" t="s">
        <v>19</v>
      </c>
      <c r="W366" s="5" t="s">
        <v>152</v>
      </c>
      <c r="X366" s="5">
        <v>0.81099999999999994</v>
      </c>
    </row>
    <row r="367" spans="1:24">
      <c r="A367" t="s">
        <v>19</v>
      </c>
      <c r="B367" t="s">
        <v>83</v>
      </c>
      <c r="C367" t="s">
        <v>31</v>
      </c>
      <c r="D367" t="s">
        <v>28</v>
      </c>
      <c r="E367" t="s">
        <v>19</v>
      </c>
      <c r="F367" t="s">
        <v>19</v>
      </c>
      <c r="G367" t="s">
        <v>19</v>
      </c>
      <c r="H367" t="s">
        <v>19</v>
      </c>
      <c r="I367" t="s">
        <v>19</v>
      </c>
      <c r="J367" t="s">
        <v>19</v>
      </c>
      <c r="K367" s="21" t="s">
        <v>607</v>
      </c>
      <c r="L367" s="5" t="s">
        <v>19</v>
      </c>
      <c r="M367" s="5" t="s">
        <v>19</v>
      </c>
      <c r="N367" s="5" t="s">
        <v>19</v>
      </c>
      <c r="O367" s="5" t="str">
        <f>HYPERLINK("http://www.lghausys.co.kr/popup/rn/download/downloadPopup.jsp?from=plwindow&amp;uu=/upload/window/REPORT/LGH-WA15-103.pdf","2등급")</f>
        <v>2등급</v>
      </c>
      <c r="P367" s="5" t="s">
        <v>19</v>
      </c>
      <c r="Q367" s="5" t="s">
        <v>19</v>
      </c>
      <c r="R367" s="5" t="s">
        <v>19</v>
      </c>
      <c r="S367" s="5" t="s">
        <v>19</v>
      </c>
      <c r="T367" s="5" t="s">
        <v>19</v>
      </c>
      <c r="U367" s="5" t="s">
        <v>19</v>
      </c>
      <c r="V367" s="5" t="s">
        <v>19</v>
      </c>
      <c r="W367" s="5" t="s">
        <v>152</v>
      </c>
      <c r="X367" s="5">
        <v>0.73499999999999999</v>
      </c>
    </row>
    <row r="368" spans="1:24">
      <c r="A368" t="s">
        <v>42</v>
      </c>
      <c r="B368" t="s">
        <v>43</v>
      </c>
      <c r="C368" t="s">
        <v>31</v>
      </c>
      <c r="D368" t="s">
        <v>28</v>
      </c>
      <c r="E368" t="s">
        <v>19</v>
      </c>
      <c r="F368" t="s">
        <v>19</v>
      </c>
      <c r="G368" t="s">
        <v>19</v>
      </c>
      <c r="H368" t="s">
        <v>19</v>
      </c>
      <c r="I368" t="s">
        <v>19</v>
      </c>
      <c r="J368" t="s">
        <v>19</v>
      </c>
      <c r="K368" s="21" t="s">
        <v>607</v>
      </c>
      <c r="L368" s="5" t="s">
        <v>19</v>
      </c>
      <c r="M368" s="5" t="s">
        <v>19</v>
      </c>
      <c r="N368" s="5" t="s">
        <v>19</v>
      </c>
      <c r="O368" s="5" t="str">
        <f>HYPERLINK("http://www.lghausys.co.kr/popup/rn/download/downloadPopup.jsp?from=plwindow&amp;uu=/upload/window/REPORT/LGH-WA15-106.pdf","1등급")</f>
        <v>1등급</v>
      </c>
      <c r="P368" s="5" t="s">
        <v>19</v>
      </c>
      <c r="Q368" s="5" t="s">
        <v>19</v>
      </c>
      <c r="R368" s="5" t="s">
        <v>19</v>
      </c>
      <c r="S368" s="5" t="s">
        <v>19</v>
      </c>
      <c r="T368" s="5" t="s">
        <v>19</v>
      </c>
      <c r="U368" s="5" t="s">
        <v>19</v>
      </c>
      <c r="V368" s="5" t="s">
        <v>19</v>
      </c>
      <c r="W368" s="5" t="s">
        <v>152</v>
      </c>
      <c r="X368" s="5">
        <v>0.78900000000000003</v>
      </c>
    </row>
    <row r="369" spans="1:24">
      <c r="A369" t="s">
        <v>39</v>
      </c>
      <c r="B369" t="s">
        <v>19</v>
      </c>
      <c r="C369" t="s">
        <v>31</v>
      </c>
      <c r="D369" t="s">
        <v>51</v>
      </c>
      <c r="E369" t="s">
        <v>19</v>
      </c>
      <c r="F369" t="s">
        <v>19</v>
      </c>
      <c r="G369" t="s">
        <v>19</v>
      </c>
      <c r="H369" t="s">
        <v>19</v>
      </c>
      <c r="I369" t="s">
        <v>19</v>
      </c>
      <c r="J369" t="s">
        <v>19</v>
      </c>
      <c r="K369" s="21" t="s">
        <v>607</v>
      </c>
      <c r="L369" s="5" t="s">
        <v>19</v>
      </c>
      <c r="M369" s="5" t="s">
        <v>19</v>
      </c>
      <c r="N369" s="5" t="s">
        <v>19</v>
      </c>
      <c r="O369" s="5" t="str">
        <f>HYPERLINK("http://www.lghausys.co.kr/popup/rn/download/downloadPopup.jsp?from=plwindow&amp;uu=/upload/window/REPORT/LGH-WA15-122.pdf","1등급")</f>
        <v>1등급</v>
      </c>
      <c r="P369" s="5" t="s">
        <v>19</v>
      </c>
      <c r="Q369" s="5" t="s">
        <v>19</v>
      </c>
      <c r="R369" s="5" t="s">
        <v>19</v>
      </c>
      <c r="S369" s="5" t="s">
        <v>19</v>
      </c>
      <c r="T369" s="5" t="s">
        <v>19</v>
      </c>
      <c r="U369" s="5" t="s">
        <v>19</v>
      </c>
      <c r="V369" s="5" t="s">
        <v>19</v>
      </c>
      <c r="W369" s="5" t="s">
        <v>152</v>
      </c>
      <c r="X369" s="5">
        <v>0.73199999999999998</v>
      </c>
    </row>
    <row r="370" spans="1:24">
      <c r="A370" t="s">
        <v>18</v>
      </c>
      <c r="B370" t="s">
        <v>19</v>
      </c>
      <c r="C370" t="s">
        <v>31</v>
      </c>
      <c r="D370" t="s">
        <v>25</v>
      </c>
      <c r="E370" t="s">
        <v>19</v>
      </c>
      <c r="F370" t="s">
        <v>19</v>
      </c>
      <c r="G370" t="s">
        <v>19</v>
      </c>
      <c r="H370" t="s">
        <v>19</v>
      </c>
      <c r="I370" t="s">
        <v>19</v>
      </c>
      <c r="J370" t="s">
        <v>19</v>
      </c>
      <c r="K370" s="21" t="s">
        <v>607</v>
      </c>
      <c r="L370" s="5" t="s">
        <v>19</v>
      </c>
      <c r="M370" s="5" t="s">
        <v>19</v>
      </c>
      <c r="N370" s="5" t="s">
        <v>19</v>
      </c>
      <c r="O370" s="5" t="str">
        <f>HYPERLINK("http://www.lghausys.co.kr/popup/rn/download/downloadPopup.jsp?from=plwindow&amp;uu=/upload/window/REPORT/LGH-WA15-126.pdf","1등급")</f>
        <v>1등급</v>
      </c>
      <c r="P370" s="5" t="str">
        <f>HYPERLINK("http://www.lghausys.co.kr/popup/rn/download/downloadPopup.jsp?from=plwindow&amp;uu=/upload/window/REPORT/LGH-WA15-126.pdf","35등급")</f>
        <v>35등급</v>
      </c>
      <c r="Q370" s="5" t="str">
        <f>HYPERLINK("http://www.lghausys.co.kr/popup/rn/download/downloadPopup.jsp?from=plwindow&amp;uu=/upload/window/REPORT/LGH-WA15-126.pdf","200등급")</f>
        <v>200등급</v>
      </c>
      <c r="R370" s="5" t="s">
        <v>19</v>
      </c>
      <c r="S370" s="5" t="s">
        <v>19</v>
      </c>
      <c r="T370" s="5" t="s">
        <v>19</v>
      </c>
      <c r="U370" s="5" t="s">
        <v>19</v>
      </c>
      <c r="V370" s="5" t="s">
        <v>19</v>
      </c>
      <c r="W370" s="5" t="s">
        <v>152</v>
      </c>
      <c r="X370" s="5">
        <v>0.78200000000000003</v>
      </c>
    </row>
    <row r="371" spans="1:24">
      <c r="A371" t="s">
        <v>44</v>
      </c>
      <c r="B371" t="s">
        <v>19</v>
      </c>
      <c r="C371" t="s">
        <v>31</v>
      </c>
      <c r="D371" t="s">
        <v>89</v>
      </c>
      <c r="E371" t="s">
        <v>19</v>
      </c>
      <c r="F371" t="s">
        <v>19</v>
      </c>
      <c r="G371" t="s">
        <v>19</v>
      </c>
      <c r="H371" t="s">
        <v>19</v>
      </c>
      <c r="I371" t="s">
        <v>19</v>
      </c>
      <c r="J371" t="s">
        <v>19</v>
      </c>
      <c r="K371" s="21" t="s">
        <v>607</v>
      </c>
      <c r="L371" s="5" t="s">
        <v>19</v>
      </c>
      <c r="M371" s="5" t="s">
        <v>19</v>
      </c>
      <c r="N371" s="5" t="s">
        <v>19</v>
      </c>
      <c r="O371" s="5" t="str">
        <f>HYPERLINK("http://www.lghausys.co.kr/popup/rn/download/downloadPopup.jsp?from=plwindow&amp;uu=/upload/window/REPORT/LGH-WA15-169.pdf","1등급")</f>
        <v>1등급</v>
      </c>
      <c r="P371" s="5" t="s">
        <v>19</v>
      </c>
      <c r="Q371" s="5" t="s">
        <v>19</v>
      </c>
      <c r="R371" s="5" t="s">
        <v>19</v>
      </c>
      <c r="S371" s="5" t="s">
        <v>19</v>
      </c>
      <c r="T371" s="5" t="s">
        <v>19</v>
      </c>
      <c r="U371" s="5" t="s">
        <v>19</v>
      </c>
      <c r="V371" s="5" t="s">
        <v>19</v>
      </c>
      <c r="W371" s="5" t="s">
        <v>152</v>
      </c>
      <c r="X371" s="5">
        <v>0.82200000000000006</v>
      </c>
    </row>
    <row r="372" spans="1:24">
      <c r="A372" t="s">
        <v>62</v>
      </c>
      <c r="B372" t="s">
        <v>19</v>
      </c>
      <c r="C372" t="s">
        <v>31</v>
      </c>
      <c r="D372" t="s">
        <v>25</v>
      </c>
      <c r="E372" t="s">
        <v>19</v>
      </c>
      <c r="F372" t="s">
        <v>19</v>
      </c>
      <c r="G372" t="s">
        <v>19</v>
      </c>
      <c r="H372" t="s">
        <v>25</v>
      </c>
      <c r="I372" t="s">
        <v>19</v>
      </c>
      <c r="J372" t="s">
        <v>19</v>
      </c>
      <c r="K372" s="21" t="s">
        <v>607</v>
      </c>
      <c r="L372" s="5" t="s">
        <v>19</v>
      </c>
      <c r="M372" s="5" t="s">
        <v>19</v>
      </c>
      <c r="N372" s="5" t="s">
        <v>19</v>
      </c>
      <c r="O372" s="5" t="str">
        <f>HYPERLINK("http://www.lghausys.co.kr/popup/rn/download/downloadPopup.jsp?from=plwindow&amp;uu=/upload/window/REPORT/LGH-WA15-179.pdf","1등급")</f>
        <v>1등급</v>
      </c>
      <c r="P372" s="5" t="str">
        <f>HYPERLINK("http://www.lghausys.co.kr/popup/rn/download/downloadPopup.jsp?from=plwindow&amp;uu=/upload/window/REPORT/LGH-WA15-179.pdf","50등급")</f>
        <v>50등급</v>
      </c>
      <c r="Q372" s="5" t="str">
        <f>HYPERLINK("http://www.lghausys.co.kr/popup/rn/download/downloadPopup.jsp?from=plwindow&amp;uu=/upload/window/REPORT/LGH-WA15-179.pdf","400등급")</f>
        <v>400등급</v>
      </c>
      <c r="R372" s="5" t="s">
        <v>19</v>
      </c>
      <c r="S372" s="5" t="s">
        <v>19</v>
      </c>
      <c r="T372" s="5" t="s">
        <v>19</v>
      </c>
      <c r="U372" s="5" t="s">
        <v>19</v>
      </c>
      <c r="V372" s="5" t="s">
        <v>19</v>
      </c>
      <c r="W372" s="5" t="s">
        <v>152</v>
      </c>
      <c r="X372" s="5">
        <v>0.83400000000000007</v>
      </c>
    </row>
    <row r="373" spans="1:24">
      <c r="A373" t="s">
        <v>61</v>
      </c>
      <c r="B373" t="s">
        <v>19</v>
      </c>
      <c r="C373" t="s">
        <v>31</v>
      </c>
      <c r="D373" t="s">
        <v>25</v>
      </c>
      <c r="E373" t="s">
        <v>19</v>
      </c>
      <c r="F373" t="s">
        <v>19</v>
      </c>
      <c r="G373" t="s">
        <v>19</v>
      </c>
      <c r="H373" t="s">
        <v>19</v>
      </c>
      <c r="I373" t="s">
        <v>19</v>
      </c>
      <c r="J373" t="s">
        <v>19</v>
      </c>
      <c r="K373" s="21" t="s">
        <v>607</v>
      </c>
      <c r="L373" s="5" t="s">
        <v>19</v>
      </c>
      <c r="M373" s="5" t="s">
        <v>19</v>
      </c>
      <c r="N373" s="5" t="s">
        <v>19</v>
      </c>
      <c r="O373" s="5" t="str">
        <f>HYPERLINK("http://www.lghausys.co.kr/popup/rn/download/downloadPopup.jsp?from=plwindow&amp;uu=/upload/window/REPORT/LGH-WA15-180.pdf","2등급")</f>
        <v>2등급</v>
      </c>
      <c r="P373" s="5" t="str">
        <f>HYPERLINK("http://www.lghausys.co.kr/popup/rn/download/downloadPopup.jsp?from=plwindow&amp;uu=/upload/window/REPORT/LGH-WA15-180.pdf","15등급")</f>
        <v>15등급</v>
      </c>
      <c r="Q373" s="5" t="str">
        <f>HYPERLINK("http://www.lghausys.co.kr/popup/rn/download/downloadPopup.jsp?from=plwindow&amp;uu=/upload/window/REPORT/LGH-WA15-180.pdf","240등급")</f>
        <v>240등급</v>
      </c>
      <c r="R373" s="5" t="s">
        <v>19</v>
      </c>
      <c r="S373" s="5" t="s">
        <v>19</v>
      </c>
      <c r="T373" s="5" t="s">
        <v>19</v>
      </c>
      <c r="U373" s="5" t="s">
        <v>19</v>
      </c>
      <c r="V373" s="5" t="s">
        <v>19</v>
      </c>
      <c r="W373" s="5" t="s">
        <v>152</v>
      </c>
      <c r="X373" s="5">
        <v>0.99400000000000011</v>
      </c>
    </row>
    <row r="374" spans="1:24">
      <c r="A374" t="s">
        <v>52</v>
      </c>
      <c r="B374" t="s">
        <v>19</v>
      </c>
      <c r="C374" t="s">
        <v>31</v>
      </c>
      <c r="D374" t="s">
        <v>25</v>
      </c>
      <c r="E374" t="s">
        <v>19</v>
      </c>
      <c r="F374" t="s">
        <v>19</v>
      </c>
      <c r="G374" t="s">
        <v>19</v>
      </c>
      <c r="H374" t="s">
        <v>25</v>
      </c>
      <c r="I374" t="s">
        <v>19</v>
      </c>
      <c r="J374" t="s">
        <v>19</v>
      </c>
      <c r="K374" s="21" t="s">
        <v>607</v>
      </c>
      <c r="L374" s="5" t="s">
        <v>19</v>
      </c>
      <c r="M374" s="5" t="s">
        <v>19</v>
      </c>
      <c r="N374" s="5" t="s">
        <v>19</v>
      </c>
      <c r="O374" s="5" t="s">
        <v>19</v>
      </c>
      <c r="P374" s="5" t="s">
        <v>19</v>
      </c>
      <c r="Q374" s="5" t="str">
        <f>HYPERLINK("http://www.lghausys.co.kr/popup/rn/download/downloadPopup.jsp?from=plwindow&amp;uu=/upload/window/REPORT/LGH-WA15-189.pdf","280등급")</f>
        <v>280등급</v>
      </c>
      <c r="R374" s="5" t="s">
        <v>19</v>
      </c>
      <c r="S374" s="5" t="s">
        <v>19</v>
      </c>
      <c r="T374" s="5" t="s">
        <v>19</v>
      </c>
      <c r="U374" s="5" t="s">
        <v>19</v>
      </c>
      <c r="V374" s="5" t="s">
        <v>19</v>
      </c>
      <c r="W374" s="5" t="s">
        <v>155</v>
      </c>
      <c r="X374" s="5">
        <v>0.75599999999999989</v>
      </c>
    </row>
    <row r="375" spans="1:24">
      <c r="A375" t="s">
        <v>19</v>
      </c>
      <c r="B375" t="s">
        <v>49</v>
      </c>
      <c r="C375" t="s">
        <v>31</v>
      </c>
      <c r="D375" t="s">
        <v>79</v>
      </c>
      <c r="E375" t="s">
        <v>19</v>
      </c>
      <c r="F375" t="s">
        <v>19</v>
      </c>
      <c r="G375" t="s">
        <v>19</v>
      </c>
      <c r="H375" t="s">
        <v>19</v>
      </c>
      <c r="I375" t="s">
        <v>19</v>
      </c>
      <c r="J375" t="s">
        <v>19</v>
      </c>
      <c r="K375" s="21" t="s">
        <v>607</v>
      </c>
      <c r="L375" s="5" t="s">
        <v>19</v>
      </c>
      <c r="M375" s="5" t="s">
        <v>19</v>
      </c>
      <c r="N375" s="5" t="s">
        <v>19</v>
      </c>
      <c r="O375" s="5" t="str">
        <f>HYPERLINK("http://www.lghausys.co.kr/popup/rn/download/downloadPopup.jsp?from=plwindow&amp;uu=/upload/window/REPORT/LGH-WA15-192.pdf","2등급")</f>
        <v>2등급</v>
      </c>
      <c r="P375" s="5" t="str">
        <f>HYPERLINK("http://www.lghausys.co.kr/popup/rn/download/downloadPopup.jsp?from=plwindow&amp;uu=/upload/window/REPORT/LGH-WA15-192.pdf","15등급")</f>
        <v>15등급</v>
      </c>
      <c r="Q375" s="5" t="str">
        <f>HYPERLINK("http://www.lghausys.co.kr/popup/rn/download/downloadPopup.jsp?from=plwindow&amp;uu=/upload/window/REPORT/LGH-WA15-192.pdf","200등급")</f>
        <v>200등급</v>
      </c>
      <c r="R375" s="5" t="s">
        <v>19</v>
      </c>
      <c r="S375" s="5" t="s">
        <v>19</v>
      </c>
      <c r="T375" s="5" t="s">
        <v>19</v>
      </c>
      <c r="U375" s="5" t="s">
        <v>19</v>
      </c>
      <c r="V375" s="5" t="s">
        <v>19</v>
      </c>
      <c r="W375" s="5" t="s">
        <v>152</v>
      </c>
      <c r="X375" s="5">
        <v>0.83</v>
      </c>
    </row>
    <row r="376" spans="1:24">
      <c r="A376" t="s">
        <v>57</v>
      </c>
      <c r="B376" t="s">
        <v>58</v>
      </c>
      <c r="C376" t="s">
        <v>31</v>
      </c>
      <c r="D376" t="s">
        <v>25</v>
      </c>
      <c r="E376" t="s">
        <v>19</v>
      </c>
      <c r="F376" t="s">
        <v>19</v>
      </c>
      <c r="G376" t="s">
        <v>19</v>
      </c>
      <c r="H376" t="s">
        <v>19</v>
      </c>
      <c r="I376" t="s">
        <v>19</v>
      </c>
      <c r="J376" t="s">
        <v>19</v>
      </c>
      <c r="K376" s="21" t="s">
        <v>607</v>
      </c>
      <c r="L376" s="5" t="s">
        <v>19</v>
      </c>
      <c r="M376" s="5" t="s">
        <v>19</v>
      </c>
      <c r="N376" s="5" t="s">
        <v>19</v>
      </c>
      <c r="O376" s="5" t="str">
        <f>HYPERLINK("http://www.lghausys.co.kr/popup/rn/download/downloadPopup.jsp?from=plwindow&amp;uu=/upload/window/REPORT/LGH-WA15-200.pdf","1등급")</f>
        <v>1등급</v>
      </c>
      <c r="P376" s="5" t="s">
        <v>19</v>
      </c>
      <c r="Q376" s="5" t="s">
        <v>19</v>
      </c>
      <c r="R376" s="5" t="s">
        <v>19</v>
      </c>
      <c r="S376" s="5" t="s">
        <v>19</v>
      </c>
      <c r="T376" s="5" t="s">
        <v>19</v>
      </c>
      <c r="U376" s="5" t="s">
        <v>19</v>
      </c>
      <c r="V376" s="5" t="s">
        <v>19</v>
      </c>
      <c r="W376" s="5" t="s">
        <v>152</v>
      </c>
      <c r="X376" s="5">
        <v>2.2170000000000001</v>
      </c>
    </row>
    <row r="377" spans="1:24">
      <c r="A377" t="s">
        <v>57</v>
      </c>
      <c r="B377" t="s">
        <v>58</v>
      </c>
      <c r="C377" t="s">
        <v>31</v>
      </c>
      <c r="D377" t="s">
        <v>25</v>
      </c>
      <c r="E377" t="s">
        <v>19</v>
      </c>
      <c r="F377" t="s">
        <v>19</v>
      </c>
      <c r="G377" t="s">
        <v>19</v>
      </c>
      <c r="H377" t="s">
        <v>19</v>
      </c>
      <c r="I377" t="s">
        <v>19</v>
      </c>
      <c r="J377" t="s">
        <v>19</v>
      </c>
      <c r="K377" s="21" t="s">
        <v>607</v>
      </c>
      <c r="L377" s="5" t="s">
        <v>19</v>
      </c>
      <c r="M377" s="5" t="s">
        <v>19</v>
      </c>
      <c r="N377" s="5" t="s">
        <v>19</v>
      </c>
      <c r="O377" s="5" t="s">
        <v>19</v>
      </c>
      <c r="P377" s="5" t="str">
        <f>HYPERLINK("http://www.lghausys.co.kr/popup/rn/download/downloadPopup.jsp?from=plwindow&amp;uu=/upload/window/REPORT/LGH-WA15-201.pdf","50등급")</f>
        <v>50등급</v>
      </c>
      <c r="Q377" s="5" t="str">
        <f>HYPERLINK("http://www.lghausys.co.kr/popup/rn/download/downloadPopup.jsp?from=plwindow&amp;uu=/upload/window/REPORT/LGH-WA15-201.pdf","160등급")</f>
        <v>160등급</v>
      </c>
      <c r="R377" s="5" t="s">
        <v>19</v>
      </c>
      <c r="S377" s="5" t="s">
        <v>19</v>
      </c>
      <c r="T377" s="5" t="s">
        <v>19</v>
      </c>
      <c r="U377" s="5" t="s">
        <v>19</v>
      </c>
      <c r="V377" s="5" t="s">
        <v>19</v>
      </c>
      <c r="W377" s="5" t="s">
        <v>152</v>
      </c>
      <c r="X377" s="5">
        <v>2.242</v>
      </c>
    </row>
    <row r="378" spans="1:24">
      <c r="A378" t="s">
        <v>62</v>
      </c>
      <c r="B378" t="s">
        <v>19</v>
      </c>
      <c r="C378" t="s">
        <v>31</v>
      </c>
      <c r="D378" t="s">
        <v>25</v>
      </c>
      <c r="E378" t="s">
        <v>19</v>
      </c>
      <c r="F378" t="s">
        <v>19</v>
      </c>
      <c r="G378" t="s">
        <v>19</v>
      </c>
      <c r="H378" t="s">
        <v>25</v>
      </c>
      <c r="I378" t="s">
        <v>19</v>
      </c>
      <c r="J378" t="s">
        <v>19</v>
      </c>
      <c r="K378" s="21" t="s">
        <v>607</v>
      </c>
      <c r="L378" s="5" t="s">
        <v>19</v>
      </c>
      <c r="M378" s="5" t="s">
        <v>19</v>
      </c>
      <c r="N378" s="5" t="s">
        <v>19</v>
      </c>
      <c r="O378" s="5" t="str">
        <f>HYPERLINK("http://www.lghausys.co.kr/popup/rn/download/downloadPopup.jsp?from=plwindow&amp;uu=/upload/window/REPORT/LGH-WA15-207.pdf","1등급")</f>
        <v>1등급</v>
      </c>
      <c r="P378" s="5" t="str">
        <f>HYPERLINK("http://www.lghausys.co.kr/popup/rn/download/downloadPopup.jsp?from=plwindow&amp;uu=/upload/window/REPORT/LGH-WA15-207.pdf","50등급")</f>
        <v>50등급</v>
      </c>
      <c r="Q378" s="5" t="str">
        <f>HYPERLINK("http://www.lghausys.co.kr/popup/rn/download/downloadPopup.jsp?from=plwindow&amp;uu=/upload/window/REPORT/LGH-WA15-207.pdf","220등급")</f>
        <v>220등급</v>
      </c>
      <c r="R378" s="5" t="s">
        <v>19</v>
      </c>
      <c r="S378" s="5" t="s">
        <v>19</v>
      </c>
      <c r="T378" s="5" t="s">
        <v>19</v>
      </c>
      <c r="U378" s="5" t="s">
        <v>19</v>
      </c>
      <c r="V378" s="5" t="s">
        <v>19</v>
      </c>
      <c r="W378" s="5" t="s">
        <v>156</v>
      </c>
      <c r="X378" s="5">
        <v>2.0790000000000002</v>
      </c>
    </row>
    <row r="379" spans="1:24">
      <c r="A379" t="s">
        <v>52</v>
      </c>
      <c r="B379" t="s">
        <v>19</v>
      </c>
      <c r="C379" t="s">
        <v>31</v>
      </c>
      <c r="D379" t="s">
        <v>25</v>
      </c>
      <c r="E379" t="s">
        <v>19</v>
      </c>
      <c r="F379" t="s">
        <v>19</v>
      </c>
      <c r="G379" t="s">
        <v>19</v>
      </c>
      <c r="H379" t="s">
        <v>25</v>
      </c>
      <c r="I379" t="s">
        <v>19</v>
      </c>
      <c r="J379" t="s">
        <v>19</v>
      </c>
      <c r="K379" s="21" t="s">
        <v>607</v>
      </c>
      <c r="L379" s="5" t="s">
        <v>19</v>
      </c>
      <c r="M379" s="5" t="s">
        <v>19</v>
      </c>
      <c r="N379" s="5" t="s">
        <v>19</v>
      </c>
      <c r="O379" s="5" t="str">
        <f>HYPERLINK("http://www.lghausys.co.kr/popup/rn/download/downloadPopup.jsp?from=plwindow&amp;uu=/upload/window/REPORT/LGH-WA15-252.pdf","1등급")</f>
        <v>1등급</v>
      </c>
      <c r="P379" s="5" t="s">
        <v>19</v>
      </c>
      <c r="Q379" s="5" t="s">
        <v>19</v>
      </c>
      <c r="R379" s="5" t="s">
        <v>19</v>
      </c>
      <c r="S379" s="5" t="s">
        <v>19</v>
      </c>
      <c r="T379" s="5" t="s">
        <v>19</v>
      </c>
      <c r="U379" s="5" t="s">
        <v>19</v>
      </c>
      <c r="V379" s="5" t="s">
        <v>19</v>
      </c>
      <c r="W379" s="5" t="s">
        <v>152</v>
      </c>
      <c r="X379" s="5">
        <v>2.1549999999999998</v>
      </c>
    </row>
    <row r="380" spans="1:24">
      <c r="A380" t="s">
        <v>52</v>
      </c>
      <c r="B380" t="s">
        <v>19</v>
      </c>
      <c r="C380" t="s">
        <v>31</v>
      </c>
      <c r="D380" t="s">
        <v>25</v>
      </c>
      <c r="E380" t="s">
        <v>19</v>
      </c>
      <c r="F380" t="s">
        <v>19</v>
      </c>
      <c r="G380" t="s">
        <v>19</v>
      </c>
      <c r="H380" t="s">
        <v>28</v>
      </c>
      <c r="I380" t="s">
        <v>19</v>
      </c>
      <c r="J380" t="s">
        <v>19</v>
      </c>
      <c r="K380" s="21" t="s">
        <v>607</v>
      </c>
      <c r="L380" s="5" t="s">
        <v>19</v>
      </c>
      <c r="M380" s="5" t="s">
        <v>19</v>
      </c>
      <c r="N380" s="5" t="s">
        <v>19</v>
      </c>
      <c r="O380" s="5" t="str">
        <f>HYPERLINK("http://www.lghausys.co.kr/popup/rn/download/downloadPopup.jsp?from=plwindow&amp;uu=/upload/window/REPORT/LGH-WA15-253.pdf","1등급")</f>
        <v>1등급</v>
      </c>
      <c r="P380" s="5" t="s">
        <v>19</v>
      </c>
      <c r="Q380" s="5" t="s">
        <v>19</v>
      </c>
      <c r="R380" s="5" t="s">
        <v>19</v>
      </c>
      <c r="S380" s="5" t="s">
        <v>19</v>
      </c>
      <c r="T380" s="5" t="s">
        <v>19</v>
      </c>
      <c r="U380" s="5" t="s">
        <v>19</v>
      </c>
      <c r="V380" s="5" t="s">
        <v>19</v>
      </c>
      <c r="W380" s="5" t="s">
        <v>152</v>
      </c>
      <c r="X380" s="5">
        <v>0.88700000000000001</v>
      </c>
    </row>
    <row r="381" spans="1:24">
      <c r="A381" t="s">
        <v>52</v>
      </c>
      <c r="B381" t="s">
        <v>19</v>
      </c>
      <c r="C381" t="s">
        <v>31</v>
      </c>
      <c r="D381" t="s">
        <v>25</v>
      </c>
      <c r="E381" t="s">
        <v>19</v>
      </c>
      <c r="F381" t="s">
        <v>19</v>
      </c>
      <c r="G381" t="s">
        <v>19</v>
      </c>
      <c r="H381" t="s">
        <v>53</v>
      </c>
      <c r="I381" t="s">
        <v>19</v>
      </c>
      <c r="J381" t="s">
        <v>19</v>
      </c>
      <c r="K381" s="21" t="s">
        <v>607</v>
      </c>
      <c r="L381" s="5" t="s">
        <v>19</v>
      </c>
      <c r="M381" s="5" t="s">
        <v>19</v>
      </c>
      <c r="N381" s="5" t="s">
        <v>19</v>
      </c>
      <c r="O381" s="5" t="str">
        <f>HYPERLINK("http://www.lghausys.co.kr/popup/rn/download/downloadPopup.jsp?from=plwindow&amp;uu=/upload/window/REPORT/LGH-WA15-254.pdf","1등급")</f>
        <v>1등급</v>
      </c>
      <c r="P381" s="5" t="s">
        <v>19</v>
      </c>
      <c r="Q381" s="5" t="s">
        <v>19</v>
      </c>
      <c r="R381" s="5" t="s">
        <v>19</v>
      </c>
      <c r="S381" s="5" t="s">
        <v>19</v>
      </c>
      <c r="T381" s="5" t="s">
        <v>19</v>
      </c>
      <c r="U381" s="5" t="s">
        <v>19</v>
      </c>
      <c r="V381" s="5" t="s">
        <v>19</v>
      </c>
      <c r="W381" s="5" t="s">
        <v>152</v>
      </c>
      <c r="X381" s="5">
        <v>0.82099999999999995</v>
      </c>
    </row>
    <row r="382" spans="1:24">
      <c r="A382" t="s">
        <v>59</v>
      </c>
      <c r="B382" t="s">
        <v>19</v>
      </c>
      <c r="C382" t="s">
        <v>31</v>
      </c>
      <c r="D382" t="s">
        <v>25</v>
      </c>
      <c r="E382" t="s">
        <v>19</v>
      </c>
      <c r="F382" t="s">
        <v>19</v>
      </c>
      <c r="G382" t="s">
        <v>19</v>
      </c>
      <c r="H382" t="s">
        <v>19</v>
      </c>
      <c r="I382" t="s">
        <v>19</v>
      </c>
      <c r="J382" t="s">
        <v>19</v>
      </c>
      <c r="K382" s="21" t="s">
        <v>607</v>
      </c>
      <c r="L382" s="5" t="s">
        <v>19</v>
      </c>
      <c r="M382" s="5" t="s">
        <v>19</v>
      </c>
      <c r="N382" s="5" t="s">
        <v>19</v>
      </c>
      <c r="O382" s="5" t="str">
        <f>HYPERLINK("http://www.lghausys.co.kr/popup/rn/download/downloadPopup.jsp?from=plwindow&amp;uu=/upload/window/REPORT/LGH-WA15-255.pdf","2등급")</f>
        <v>2등급</v>
      </c>
      <c r="P382" s="5" t="str">
        <f>HYPERLINK("http://www.lghausys.co.kr/popup/rn/download/downloadPopup.jsp?from=plwindow&amp;uu=/upload/window/REPORT/LGH-WA15-255.pdf","15등급")</f>
        <v>15등급</v>
      </c>
      <c r="Q382" s="5" t="str">
        <f>HYPERLINK("http://www.lghausys.co.kr/popup/rn/download/downloadPopup.jsp?from=plwindow&amp;uu=/upload/window/REPORT/LGH-WA15-255.pdf","240등급")</f>
        <v>240등급</v>
      </c>
      <c r="R382" s="5" t="s">
        <v>19</v>
      </c>
      <c r="S382" s="5" t="s">
        <v>19</v>
      </c>
      <c r="T382" s="5" t="s">
        <v>19</v>
      </c>
      <c r="U382" s="5" t="s">
        <v>19</v>
      </c>
      <c r="V382" s="5" t="s">
        <v>19</v>
      </c>
      <c r="W382" s="5" t="s">
        <v>152</v>
      </c>
      <c r="X382" s="5">
        <v>1.2150000000000001</v>
      </c>
    </row>
    <row r="383" spans="1:24">
      <c r="A383" t="s">
        <v>60</v>
      </c>
      <c r="B383" t="s">
        <v>19</v>
      </c>
      <c r="C383" t="s">
        <v>31</v>
      </c>
      <c r="D383" t="s">
        <v>25</v>
      </c>
      <c r="E383" t="s">
        <v>19</v>
      </c>
      <c r="F383" t="s">
        <v>19</v>
      </c>
      <c r="G383" t="s">
        <v>19</v>
      </c>
      <c r="H383" t="s">
        <v>25</v>
      </c>
      <c r="I383" t="s">
        <v>19</v>
      </c>
      <c r="J383" t="s">
        <v>19</v>
      </c>
      <c r="K383" s="21" t="s">
        <v>607</v>
      </c>
      <c r="L383" s="5" t="s">
        <v>19</v>
      </c>
      <c r="M383" s="5" t="s">
        <v>19</v>
      </c>
      <c r="N383" s="5" t="s">
        <v>19</v>
      </c>
      <c r="O383" s="5" t="str">
        <f>HYPERLINK("http://www.lghausys.co.kr/popup/rn/download/downloadPopup.jsp?from=plwindow&amp;uu=/upload/window/REPORT/LGH-WA15-277.pdf","1등급")</f>
        <v>1등급</v>
      </c>
      <c r="P383" s="5" t="str">
        <f>HYPERLINK("http://www.lghausys.co.kr/popup/rn/download/downloadPopup.jsp?from=plwindow&amp;uu=/upload/window/REPORT/LGH-WA15-277.pdf","50등급")</f>
        <v>50등급</v>
      </c>
      <c r="Q383" s="5" t="str">
        <f>HYPERLINK("http://www.lghausys.co.kr/popup/rn/download/downloadPopup.jsp?from=plwindow&amp;uu=/upload/window/REPORT/LGH-WA15-277.pdf","400등급")</f>
        <v>400등급</v>
      </c>
      <c r="R383" s="5" t="s">
        <v>19</v>
      </c>
      <c r="S383" s="5" t="s">
        <v>19</v>
      </c>
      <c r="T383" s="5" t="s">
        <v>19</v>
      </c>
      <c r="U383" s="5" t="s">
        <v>19</v>
      </c>
      <c r="V383" s="5" t="s">
        <v>19</v>
      </c>
      <c r="W383" s="5" t="s">
        <v>152</v>
      </c>
      <c r="X383" s="5">
        <v>0.87400000000000011</v>
      </c>
    </row>
    <row r="384" spans="1:24">
      <c r="A384" t="s">
        <v>42</v>
      </c>
      <c r="B384" t="s">
        <v>43</v>
      </c>
      <c r="C384" t="s">
        <v>31</v>
      </c>
      <c r="D384" t="s">
        <v>28</v>
      </c>
      <c r="E384" t="s">
        <v>19</v>
      </c>
      <c r="F384" t="s">
        <v>19</v>
      </c>
      <c r="G384" t="s">
        <v>19</v>
      </c>
      <c r="H384" t="s">
        <v>19</v>
      </c>
      <c r="I384" t="s">
        <v>19</v>
      </c>
      <c r="J384" t="s">
        <v>19</v>
      </c>
      <c r="K384" s="21" t="s">
        <v>607</v>
      </c>
      <c r="L384" s="5" t="s">
        <v>19</v>
      </c>
      <c r="M384" s="5" t="s">
        <v>19</v>
      </c>
      <c r="N384" s="5" t="s">
        <v>19</v>
      </c>
      <c r="O384" s="5" t="str">
        <f>HYPERLINK("http://www.lghausys.co.kr/popup/rn/download/downloadPopup.jsp?from=plwindow&amp;uu=/upload/window/REPORT/LGH-WA15-278.pdf","1등급")</f>
        <v>1등급</v>
      </c>
      <c r="P384" s="5" t="s">
        <v>19</v>
      </c>
      <c r="Q384" s="5" t="s">
        <v>19</v>
      </c>
      <c r="R384" s="5" t="s">
        <v>19</v>
      </c>
      <c r="S384" s="5" t="s">
        <v>19</v>
      </c>
      <c r="T384" s="5" t="s">
        <v>19</v>
      </c>
      <c r="U384" s="5" t="s">
        <v>19</v>
      </c>
      <c r="V384" s="5" t="s">
        <v>19</v>
      </c>
      <c r="W384" s="5" t="s">
        <v>152</v>
      </c>
      <c r="X384" s="5">
        <v>1.2609999999999999</v>
      </c>
    </row>
    <row r="385" spans="1:24">
      <c r="A385" t="s">
        <v>42</v>
      </c>
      <c r="B385" t="s">
        <v>43</v>
      </c>
      <c r="C385" t="s">
        <v>31</v>
      </c>
      <c r="D385" t="s">
        <v>28</v>
      </c>
      <c r="E385" t="s">
        <v>19</v>
      </c>
      <c r="F385" t="s">
        <v>19</v>
      </c>
      <c r="G385" t="s">
        <v>19</v>
      </c>
      <c r="H385" t="s">
        <v>19</v>
      </c>
      <c r="I385" t="s">
        <v>19</v>
      </c>
      <c r="J385" t="s">
        <v>19</v>
      </c>
      <c r="K385" s="21" t="s">
        <v>607</v>
      </c>
      <c r="L385" s="5" t="s">
        <v>19</v>
      </c>
      <c r="M385" s="5" t="s">
        <v>19</v>
      </c>
      <c r="N385" s="5" t="s">
        <v>19</v>
      </c>
      <c r="O385" s="5" t="str">
        <f>HYPERLINK("http://www.lghausys.co.kr/popup/rn/download/downloadPopup.jsp?from=plwindow&amp;uu=/upload/window/REPORT/LGH-WA15-280.pdf","1등급")</f>
        <v>1등급</v>
      </c>
      <c r="P385" s="5" t="s">
        <v>19</v>
      </c>
      <c r="Q385" s="5" t="s">
        <v>19</v>
      </c>
      <c r="R385" s="5" t="s">
        <v>19</v>
      </c>
      <c r="S385" s="5" t="s">
        <v>19</v>
      </c>
      <c r="T385" s="5" t="s">
        <v>19</v>
      </c>
      <c r="U385" s="5" t="s">
        <v>19</v>
      </c>
      <c r="V385" s="5" t="s">
        <v>19</v>
      </c>
      <c r="W385" s="5" t="s">
        <v>152</v>
      </c>
      <c r="X385" s="5">
        <v>1.976</v>
      </c>
    </row>
    <row r="386" spans="1:24">
      <c r="A386" t="s">
        <v>19</v>
      </c>
      <c r="B386" t="s">
        <v>83</v>
      </c>
      <c r="C386" t="s">
        <v>31</v>
      </c>
      <c r="D386" t="s">
        <v>28</v>
      </c>
      <c r="E386" t="s">
        <v>19</v>
      </c>
      <c r="F386" t="s">
        <v>19</v>
      </c>
      <c r="G386" t="s">
        <v>19</v>
      </c>
      <c r="H386" t="s">
        <v>19</v>
      </c>
      <c r="I386" t="s">
        <v>19</v>
      </c>
      <c r="J386" t="s">
        <v>19</v>
      </c>
      <c r="K386" s="21" t="s">
        <v>607</v>
      </c>
      <c r="L386" s="5" t="s">
        <v>19</v>
      </c>
      <c r="M386" s="5" t="s">
        <v>19</v>
      </c>
      <c r="N386" s="5" t="s">
        <v>19</v>
      </c>
      <c r="O386" s="5" t="str">
        <f>HYPERLINK("http://www.lghausys.co.kr/popup/rn/download/downloadPopup.jsp?from=plwindow&amp;uu=/upload/window/REPORT/LGH-WA15-282.pdf","2등급")</f>
        <v>2등급</v>
      </c>
      <c r="P386" s="5" t="s">
        <v>19</v>
      </c>
      <c r="Q386" s="5" t="s">
        <v>19</v>
      </c>
      <c r="R386" s="5" t="s">
        <v>19</v>
      </c>
      <c r="S386" s="5" t="s">
        <v>19</v>
      </c>
      <c r="T386" s="5" t="s">
        <v>19</v>
      </c>
      <c r="U386" s="5" t="s">
        <v>19</v>
      </c>
      <c r="V386" s="5" t="s">
        <v>19</v>
      </c>
      <c r="W386" s="5" t="s">
        <v>152</v>
      </c>
      <c r="X386" s="5">
        <v>1.0960000000000001</v>
      </c>
    </row>
    <row r="387" spans="1:24">
      <c r="A387" t="s">
        <v>19</v>
      </c>
      <c r="B387" t="s">
        <v>83</v>
      </c>
      <c r="C387" t="s">
        <v>31</v>
      </c>
      <c r="D387" t="s">
        <v>21</v>
      </c>
      <c r="E387" t="s">
        <v>19</v>
      </c>
      <c r="F387" t="s">
        <v>19</v>
      </c>
      <c r="G387" t="s">
        <v>19</v>
      </c>
      <c r="H387" t="s">
        <v>19</v>
      </c>
      <c r="I387" t="s">
        <v>19</v>
      </c>
      <c r="J387" t="s">
        <v>19</v>
      </c>
      <c r="K387" s="21" t="s">
        <v>607</v>
      </c>
      <c r="L387" s="5" t="s">
        <v>19</v>
      </c>
      <c r="M387" s="5" t="s">
        <v>19</v>
      </c>
      <c r="N387" s="5" t="s">
        <v>19</v>
      </c>
      <c r="O387" s="5" t="str">
        <f>HYPERLINK("http://www.lghausys.co.kr/popup/rn/download/downloadPopup.jsp?from=plwindow&amp;uu=/upload/window/REPORT/LGH-WA15-283.pdf","2등급")</f>
        <v>2등급</v>
      </c>
      <c r="P387" s="5" t="s">
        <v>19</v>
      </c>
      <c r="Q387" s="5" t="s">
        <v>19</v>
      </c>
      <c r="R387" s="5" t="s">
        <v>19</v>
      </c>
      <c r="S387" s="5" t="s">
        <v>19</v>
      </c>
      <c r="T387" s="5" t="s">
        <v>19</v>
      </c>
      <c r="U387" s="5" t="s">
        <v>19</v>
      </c>
      <c r="V387" s="5" t="s">
        <v>19</v>
      </c>
      <c r="W387" s="5" t="s">
        <v>152</v>
      </c>
      <c r="X387" s="5">
        <v>0.98</v>
      </c>
    </row>
    <row r="388" spans="1:24">
      <c r="A388" t="s">
        <v>19</v>
      </c>
      <c r="B388" t="s">
        <v>83</v>
      </c>
      <c r="C388" t="s">
        <v>31</v>
      </c>
      <c r="D388" t="s">
        <v>28</v>
      </c>
      <c r="E388" t="s">
        <v>19</v>
      </c>
      <c r="F388" t="s">
        <v>19</v>
      </c>
      <c r="G388" t="s">
        <v>19</v>
      </c>
      <c r="H388" t="s">
        <v>19</v>
      </c>
      <c r="I388" t="s">
        <v>19</v>
      </c>
      <c r="J388" t="s">
        <v>19</v>
      </c>
      <c r="K388" s="21" t="s">
        <v>607</v>
      </c>
      <c r="L388" s="5" t="s">
        <v>19</v>
      </c>
      <c r="M388" s="5" t="s">
        <v>19</v>
      </c>
      <c r="N388" s="5" t="s">
        <v>19</v>
      </c>
      <c r="O388" s="5" t="str">
        <f>HYPERLINK("http://www.lghausys.co.kr/popup/rn/download/downloadPopup.jsp?from=plwindow&amp;uu=/upload/window/REPORT/LGH-WA15-284.pdf","2등급")</f>
        <v>2등급</v>
      </c>
      <c r="P388" s="5" t="s">
        <v>19</v>
      </c>
      <c r="Q388" s="5" t="s">
        <v>19</v>
      </c>
      <c r="R388" s="5" t="s">
        <v>19</v>
      </c>
      <c r="S388" s="5" t="s">
        <v>19</v>
      </c>
      <c r="T388" s="5" t="s">
        <v>19</v>
      </c>
      <c r="U388" s="5" t="s">
        <v>19</v>
      </c>
      <c r="V388" s="5" t="s">
        <v>19</v>
      </c>
      <c r="W388" s="5" t="s">
        <v>152</v>
      </c>
      <c r="X388" s="5">
        <v>0.98299999999999998</v>
      </c>
    </row>
    <row r="389" spans="1:24">
      <c r="A389" t="s">
        <v>27</v>
      </c>
      <c r="B389" t="s">
        <v>19</v>
      </c>
      <c r="C389" t="s">
        <v>31</v>
      </c>
      <c r="D389" t="s">
        <v>64</v>
      </c>
      <c r="E389" t="s">
        <v>157</v>
      </c>
      <c r="F389" t="s">
        <v>19</v>
      </c>
      <c r="G389" t="s">
        <v>19</v>
      </c>
      <c r="H389" t="s">
        <v>25</v>
      </c>
      <c r="I389" t="s">
        <v>19</v>
      </c>
      <c r="J389" t="s">
        <v>19</v>
      </c>
      <c r="K389" s="21" t="s">
        <v>607</v>
      </c>
      <c r="L389" s="5" t="s">
        <v>19</v>
      </c>
      <c r="M389" s="5" t="s">
        <v>19</v>
      </c>
      <c r="N389" s="5" t="s">
        <v>19</v>
      </c>
      <c r="O389" s="5" t="str">
        <f>HYPERLINK("http://www.lghausys.co.kr/popup/rn/download/downloadPopup.jsp?from=plwindow&amp;uu=/upload/window/REPORT/LGH-WA15-307.pdf","1등급")</f>
        <v>1등급</v>
      </c>
      <c r="P389" s="5" t="s">
        <v>19</v>
      </c>
      <c r="Q389" s="5" t="s">
        <v>19</v>
      </c>
      <c r="R389" s="5" t="s">
        <v>19</v>
      </c>
      <c r="S389" s="5" t="s">
        <v>19</v>
      </c>
      <c r="T389" s="5" t="s">
        <v>19</v>
      </c>
      <c r="U389" s="5" t="s">
        <v>19</v>
      </c>
      <c r="V389" s="5" t="s">
        <v>19</v>
      </c>
      <c r="W389" s="5" t="s">
        <v>152</v>
      </c>
      <c r="X389" s="5">
        <v>0.88</v>
      </c>
    </row>
    <row r="390" spans="1:24">
      <c r="A390" t="s">
        <v>92</v>
      </c>
      <c r="B390" t="s">
        <v>19</v>
      </c>
      <c r="C390" t="s">
        <v>31</v>
      </c>
      <c r="D390" t="s">
        <v>25</v>
      </c>
      <c r="E390" t="s">
        <v>19</v>
      </c>
      <c r="F390" t="s">
        <v>19</v>
      </c>
      <c r="G390" t="s">
        <v>19</v>
      </c>
      <c r="H390" t="s">
        <v>19</v>
      </c>
      <c r="I390" t="s">
        <v>19</v>
      </c>
      <c r="J390" t="s">
        <v>19</v>
      </c>
      <c r="K390" s="21" t="s">
        <v>607</v>
      </c>
      <c r="L390" s="5" t="s">
        <v>19</v>
      </c>
      <c r="M390" s="5" t="s">
        <v>19</v>
      </c>
      <c r="N390" s="5" t="s">
        <v>19</v>
      </c>
      <c r="O390" s="5" t="str">
        <f>HYPERLINK("http://www.lghausys.co.kr/popup/rn/download/downloadPopup.jsp?from=plwindow&amp;uu=/upload/window/REPORT/LGH-WA15-314.pdf","2등급")</f>
        <v>2등급</v>
      </c>
      <c r="P390" s="5" t="str">
        <f>HYPERLINK("http://www.lghausys.co.kr/popup/rn/download/downloadPopup.jsp?from=plwindow&amp;uu=/upload/window/REPORT/LGH-WA15-314.pdf","15등급")</f>
        <v>15등급</v>
      </c>
      <c r="Q390" s="5" t="str">
        <f>HYPERLINK("http://www.lghausys.co.kr/popup/rn/download/downloadPopup.jsp?from=plwindow&amp;uu=/upload/window/REPORT/LGH-WA15-314.pdf","240등급")</f>
        <v>240등급</v>
      </c>
      <c r="R390" s="5" t="s">
        <v>19</v>
      </c>
      <c r="S390" s="5" t="s">
        <v>19</v>
      </c>
      <c r="T390" s="5" t="s">
        <v>19</v>
      </c>
      <c r="U390" s="5" t="s">
        <v>19</v>
      </c>
      <c r="V390" s="5" t="s">
        <v>19</v>
      </c>
      <c r="W390" s="5" t="s">
        <v>152</v>
      </c>
      <c r="X390" s="5">
        <v>1.238</v>
      </c>
    </row>
    <row r="391" spans="1:24">
      <c r="A391" t="s">
        <v>92</v>
      </c>
      <c r="B391" t="s">
        <v>19</v>
      </c>
      <c r="C391" t="s">
        <v>31</v>
      </c>
      <c r="D391" t="s">
        <v>64</v>
      </c>
      <c r="E391" t="s">
        <v>19</v>
      </c>
      <c r="F391" t="s">
        <v>19</v>
      </c>
      <c r="G391" t="s">
        <v>19</v>
      </c>
      <c r="H391" t="s">
        <v>19</v>
      </c>
      <c r="I391" t="s">
        <v>19</v>
      </c>
      <c r="J391" t="s">
        <v>19</v>
      </c>
      <c r="K391" s="21" t="s">
        <v>607</v>
      </c>
      <c r="L391" s="5" t="s">
        <v>19</v>
      </c>
      <c r="M391" s="5" t="s">
        <v>19</v>
      </c>
      <c r="N391" s="5" t="s">
        <v>19</v>
      </c>
      <c r="O391" s="5" t="str">
        <f>HYPERLINK("http://www.lghausys.co.kr/popup/rn/download/downloadPopup.jsp?from=plwindow&amp;uu=/upload/window/REPORT/LGH-WA15-315.pdf","2등급")</f>
        <v>2등급</v>
      </c>
      <c r="P391" s="5" t="str">
        <f>HYPERLINK("http://www.lghausys.co.kr/popup/rn/download/downloadPopup.jsp?from=plwindow&amp;uu=/upload/window/REPORT/LGH-WA15-315.pdf","15등급")</f>
        <v>15등급</v>
      </c>
      <c r="Q391" s="5" t="str">
        <f>HYPERLINK("http://www.lghausys.co.kr/popup/rn/download/downloadPopup.jsp?from=plwindow&amp;uu=/upload/window/REPORT/LGH-WA15-315.pdf","240등급")</f>
        <v>240등급</v>
      </c>
      <c r="R391" s="5" t="s">
        <v>19</v>
      </c>
      <c r="S391" s="5" t="s">
        <v>19</v>
      </c>
      <c r="T391" s="5" t="s">
        <v>19</v>
      </c>
      <c r="U391" s="5" t="s">
        <v>19</v>
      </c>
      <c r="V391" s="5" t="s">
        <v>19</v>
      </c>
      <c r="W391" s="5" t="s">
        <v>152</v>
      </c>
      <c r="X391" s="5">
        <v>1.1719999999999999</v>
      </c>
    </row>
    <row r="392" spans="1:24">
      <c r="A392" t="s">
        <v>19</v>
      </c>
      <c r="B392" t="s">
        <v>48</v>
      </c>
      <c r="C392" t="s">
        <v>31</v>
      </c>
      <c r="D392" t="s">
        <v>28</v>
      </c>
      <c r="E392" t="s">
        <v>19</v>
      </c>
      <c r="F392" t="s">
        <v>19</v>
      </c>
      <c r="G392" t="s">
        <v>19</v>
      </c>
      <c r="H392" t="s">
        <v>28</v>
      </c>
      <c r="I392" t="s">
        <v>19</v>
      </c>
      <c r="J392" t="s">
        <v>19</v>
      </c>
      <c r="K392" s="21" t="s">
        <v>607</v>
      </c>
      <c r="L392" s="5" t="s">
        <v>19</v>
      </c>
      <c r="M392" s="5" t="s">
        <v>19</v>
      </c>
      <c r="N392" s="5" t="s">
        <v>19</v>
      </c>
      <c r="O392" s="5" t="str">
        <f>HYPERLINK("http://www.lghausys.co.kr/popup/rn/download/downloadPopup.jsp?from=plwindow&amp;uu=/upload/window/REPORT/LGH-WA15-316.pdf","1등급")</f>
        <v>1등급</v>
      </c>
      <c r="P392" s="5" t="s">
        <v>19</v>
      </c>
      <c r="Q392" s="5" t="s">
        <v>19</v>
      </c>
      <c r="R392" s="5" t="s">
        <v>19</v>
      </c>
      <c r="S392" s="5" t="s">
        <v>19</v>
      </c>
      <c r="T392" s="5" t="s">
        <v>19</v>
      </c>
      <c r="U392" s="5" t="s">
        <v>19</v>
      </c>
      <c r="V392" s="5" t="s">
        <v>19</v>
      </c>
      <c r="W392" s="5" t="s">
        <v>152</v>
      </c>
      <c r="X392" s="5">
        <v>0.93599999999999994</v>
      </c>
    </row>
    <row r="393" spans="1:24">
      <c r="A393" t="s">
        <v>139</v>
      </c>
      <c r="B393" t="s">
        <v>19</v>
      </c>
      <c r="C393" t="s">
        <v>31</v>
      </c>
      <c r="D393" t="s">
        <v>25</v>
      </c>
      <c r="E393" t="s">
        <v>158</v>
      </c>
      <c r="F393" t="s">
        <v>19</v>
      </c>
      <c r="G393" t="s">
        <v>19</v>
      </c>
      <c r="H393" t="s">
        <v>64</v>
      </c>
      <c r="I393" t="s">
        <v>19</v>
      </c>
      <c r="J393" t="s">
        <v>19</v>
      </c>
      <c r="K393" s="21" t="s">
        <v>607</v>
      </c>
      <c r="L393" s="5" t="s">
        <v>19</v>
      </c>
      <c r="M393" s="5" t="s">
        <v>19</v>
      </c>
      <c r="N393" s="5" t="s">
        <v>19</v>
      </c>
      <c r="O393" s="5" t="s">
        <v>19</v>
      </c>
      <c r="P393" s="5" t="s">
        <v>19</v>
      </c>
      <c r="Q393" s="5" t="str">
        <f>HYPERLINK("http://www.lghausys.co.kr/popup/rn/download/downloadPopup.jsp?from=plwindow&amp;uu=/upload/window/REPORT/LGH-WA15-317.pdf","300등급")</f>
        <v>300등급</v>
      </c>
      <c r="R393" s="5" t="s">
        <v>19</v>
      </c>
      <c r="S393" s="5" t="s">
        <v>19</v>
      </c>
      <c r="T393" s="5" t="s">
        <v>19</v>
      </c>
      <c r="U393" s="5" t="s">
        <v>19</v>
      </c>
      <c r="V393" s="5" t="s">
        <v>19</v>
      </c>
      <c r="W393" s="5" t="s">
        <v>152</v>
      </c>
      <c r="X393" s="5">
        <v>0.90700000000000003</v>
      </c>
    </row>
    <row r="394" spans="1:24">
      <c r="A394" t="s">
        <v>139</v>
      </c>
      <c r="B394" t="s">
        <v>19</v>
      </c>
      <c r="C394" t="s">
        <v>31</v>
      </c>
      <c r="D394" t="s">
        <v>25</v>
      </c>
      <c r="E394" t="s">
        <v>158</v>
      </c>
      <c r="F394" t="s">
        <v>19</v>
      </c>
      <c r="G394" t="s">
        <v>19</v>
      </c>
      <c r="H394" t="s">
        <v>64</v>
      </c>
      <c r="I394" t="s">
        <v>19</v>
      </c>
      <c r="J394" t="s">
        <v>19</v>
      </c>
      <c r="K394" s="21" t="s">
        <v>607</v>
      </c>
      <c r="L394" s="5" t="s">
        <v>19</v>
      </c>
      <c r="M394" s="5" t="s">
        <v>19</v>
      </c>
      <c r="N394" s="5" t="s">
        <v>19</v>
      </c>
      <c r="O394" s="5" t="str">
        <f>HYPERLINK("http://www.lghausys.co.kr/popup/rn/download/downloadPopup.jsp?from=plwindow&amp;uu=/upload/window/REPORT/LGH-WA15-318.pdf","1등급")</f>
        <v>1등급</v>
      </c>
      <c r="P394" s="5" t="str">
        <f>HYPERLINK("http://www.lghausys.co.kr/popup/rn/download/downloadPopup.jsp?from=plwindow&amp;uu=/upload/window/REPORT/LGH-WA15-318.pdf","50등급")</f>
        <v>50등급</v>
      </c>
      <c r="Q394" s="5" t="str">
        <f>HYPERLINK("http://www.lghausys.co.kr/popup/rn/download/downloadPopup.jsp?from=plwindow&amp;uu=/upload/window/REPORT/LGH-WA15-318.pdf","400등급")</f>
        <v>400등급</v>
      </c>
      <c r="R394" s="5" t="s">
        <v>19</v>
      </c>
      <c r="S394" s="5" t="s">
        <v>19</v>
      </c>
      <c r="T394" s="5" t="s">
        <v>19</v>
      </c>
      <c r="U394" s="5" t="s">
        <v>19</v>
      </c>
      <c r="V394" s="5" t="s">
        <v>19</v>
      </c>
      <c r="W394" s="5" t="s">
        <v>152</v>
      </c>
      <c r="X394" s="5">
        <v>0.63500000000000001</v>
      </c>
    </row>
    <row r="395" spans="1:24">
      <c r="A395" t="s">
        <v>127</v>
      </c>
      <c r="B395" t="s">
        <v>19</v>
      </c>
      <c r="C395" t="s">
        <v>31</v>
      </c>
      <c r="D395" t="s">
        <v>64</v>
      </c>
      <c r="E395" t="s">
        <v>159</v>
      </c>
      <c r="F395" t="s">
        <v>19</v>
      </c>
      <c r="G395" t="s">
        <v>19</v>
      </c>
      <c r="H395" t="s">
        <v>19</v>
      </c>
      <c r="I395" t="s">
        <v>19</v>
      </c>
      <c r="J395" t="s">
        <v>19</v>
      </c>
      <c r="K395" s="21" t="s">
        <v>607</v>
      </c>
      <c r="L395" s="5" t="s">
        <v>19</v>
      </c>
      <c r="M395" s="5" t="s">
        <v>19</v>
      </c>
      <c r="N395" s="5" t="s">
        <v>19</v>
      </c>
      <c r="O395" s="5" t="str">
        <f>HYPERLINK("http://www.lghausys.co.kr/popup/rn/download/downloadPopup.jsp?from=plwindow&amp;uu=/upload/window/REPORT/LGH-WA15-319.pdf","2등급")</f>
        <v>2등급</v>
      </c>
      <c r="P395" s="5" t="str">
        <f>HYPERLINK("http://www.lghausys.co.kr/popup/rn/download/downloadPopup.jsp?from=plwindow&amp;uu=/upload/window/REPORT/LGH-WA15-319.pdf","15등급")</f>
        <v>15등급</v>
      </c>
      <c r="Q395" s="5" t="str">
        <f>HYPERLINK("http://www.lghausys.co.kr/popup/rn/download/downloadPopup.jsp?from=plwindow&amp;uu=/upload/window/REPORT/LGH-WA15-319.pdf","240등급")</f>
        <v>240등급</v>
      </c>
      <c r="R395" s="5" t="s">
        <v>19</v>
      </c>
      <c r="S395" s="5" t="s">
        <v>19</v>
      </c>
      <c r="T395" s="5" t="s">
        <v>19</v>
      </c>
      <c r="U395" s="5" t="s">
        <v>19</v>
      </c>
      <c r="V395" s="5" t="s">
        <v>19</v>
      </c>
      <c r="W395" s="5" t="s">
        <v>152</v>
      </c>
      <c r="X395" s="5">
        <v>0.68099999999999994</v>
      </c>
    </row>
    <row r="396" spans="1:24">
      <c r="A396" t="s">
        <v>441</v>
      </c>
      <c r="B396" t="s">
        <v>19</v>
      </c>
      <c r="C396" t="s">
        <v>31</v>
      </c>
      <c r="D396" t="s">
        <v>129</v>
      </c>
      <c r="E396" t="s">
        <v>19</v>
      </c>
      <c r="F396" t="s">
        <v>19</v>
      </c>
      <c r="G396" t="s">
        <v>19</v>
      </c>
      <c r="H396" t="s">
        <v>19</v>
      </c>
      <c r="I396" t="s">
        <v>19</v>
      </c>
      <c r="J396" t="s">
        <v>19</v>
      </c>
      <c r="K396" s="21" t="s">
        <v>607</v>
      </c>
      <c r="L396" s="5" t="s">
        <v>19</v>
      </c>
      <c r="M396" s="5" t="s">
        <v>19</v>
      </c>
      <c r="N396" s="5" t="s">
        <v>19</v>
      </c>
      <c r="O396" s="5" t="str">
        <f>HYPERLINK("http://www.lghausys.co.kr/popup/rn/download/downloadPopup.jsp?from=plwindow&amp;uu=/upload/window/REPORT/LGH-WA15-320.pdf","1등급")</f>
        <v>1등급</v>
      </c>
      <c r="P396" s="5" t="str">
        <f>HYPERLINK("http://www.lghausys.co.kr/popup/rn/download/downloadPopup.jsp?from=plwindow&amp;uu=/upload/window/REPORT/LGH-WA15-320.pdf","50등급")</f>
        <v>50등급</v>
      </c>
      <c r="Q396" s="5" t="str">
        <f>HYPERLINK("http://www.lghausys.co.kr/popup/rn/download/downloadPopup.jsp?from=plwindow&amp;uu=/upload/window/REPORT/LGH-WA15-320.pdf","360등급")</f>
        <v>360등급</v>
      </c>
      <c r="R396" s="5" t="s">
        <v>19</v>
      </c>
      <c r="S396" s="5" t="s">
        <v>19</v>
      </c>
      <c r="T396" s="5" t="s">
        <v>19</v>
      </c>
      <c r="U396" s="5" t="s">
        <v>19</v>
      </c>
      <c r="V396" s="5" t="s">
        <v>19</v>
      </c>
      <c r="W396" s="5" t="s">
        <v>152</v>
      </c>
      <c r="X396" s="5">
        <v>0.86099999999999999</v>
      </c>
    </row>
    <row r="397" spans="1:24">
      <c r="A397" t="s">
        <v>39</v>
      </c>
      <c r="B397" t="s">
        <v>19</v>
      </c>
      <c r="C397" t="s">
        <v>31</v>
      </c>
      <c r="D397" t="s">
        <v>21</v>
      </c>
      <c r="E397" t="s">
        <v>19</v>
      </c>
      <c r="F397" t="s">
        <v>19</v>
      </c>
      <c r="G397" t="s">
        <v>19</v>
      </c>
      <c r="H397" t="s">
        <v>19</v>
      </c>
      <c r="I397" t="s">
        <v>19</v>
      </c>
      <c r="J397" t="s">
        <v>19</v>
      </c>
      <c r="K397" s="21" t="s">
        <v>607</v>
      </c>
      <c r="L397" s="5" t="s">
        <v>19</v>
      </c>
      <c r="M397" s="5" t="s">
        <v>19</v>
      </c>
      <c r="N397" s="5" t="s">
        <v>19</v>
      </c>
      <c r="O397" s="5" t="str">
        <f>HYPERLINK("http://www.lghausys.co.kr/popup/rn/download/downloadPopup.jsp?from=plwindow&amp;uu=/upload/window/REPORT/LGH-WA16-025.pdf","1등급")</f>
        <v>1등급</v>
      </c>
      <c r="P397" s="5" t="s">
        <v>19</v>
      </c>
      <c r="Q397" s="5" t="s">
        <v>19</v>
      </c>
      <c r="R397" s="5" t="s">
        <v>19</v>
      </c>
      <c r="S397" s="5" t="s">
        <v>19</v>
      </c>
      <c r="T397" s="5" t="s">
        <v>19</v>
      </c>
      <c r="U397" s="5" t="s">
        <v>19</v>
      </c>
      <c r="V397" s="5" t="s">
        <v>19</v>
      </c>
      <c r="W397" s="5" t="s">
        <v>152</v>
      </c>
      <c r="X397" s="5">
        <v>1.748</v>
      </c>
    </row>
    <row r="398" spans="1:24">
      <c r="A398" t="s">
        <v>42</v>
      </c>
      <c r="B398" t="s">
        <v>43</v>
      </c>
      <c r="C398" t="s">
        <v>31</v>
      </c>
      <c r="D398" t="s">
        <v>25</v>
      </c>
      <c r="E398" t="s">
        <v>19</v>
      </c>
      <c r="F398" t="s">
        <v>19</v>
      </c>
      <c r="G398" t="s">
        <v>19</v>
      </c>
      <c r="H398" t="s">
        <v>19</v>
      </c>
      <c r="I398" t="s">
        <v>19</v>
      </c>
      <c r="J398" t="s">
        <v>19</v>
      </c>
      <c r="K398" s="21" t="s">
        <v>607</v>
      </c>
      <c r="L398" s="5" t="s">
        <v>19</v>
      </c>
      <c r="M398" s="5" t="s">
        <v>19</v>
      </c>
      <c r="N398" s="5" t="s">
        <v>19</v>
      </c>
      <c r="O398" s="5" t="str">
        <f>HYPERLINK("http://www.lghausys.co.kr/popup/rn/download/downloadPopup.jsp?from=plwindow&amp;uu=/upload/window/REPORT/LGH-WA16-026.pdf","1등급")</f>
        <v>1등급</v>
      </c>
      <c r="P398" s="5" t="s">
        <v>19</v>
      </c>
      <c r="Q398" s="5" t="s">
        <v>19</v>
      </c>
      <c r="R398" s="5" t="s">
        <v>19</v>
      </c>
      <c r="S398" s="5" t="s">
        <v>19</v>
      </c>
      <c r="T398" s="5" t="s">
        <v>19</v>
      </c>
      <c r="U398" s="5" t="s">
        <v>19</v>
      </c>
      <c r="V398" s="5" t="s">
        <v>19</v>
      </c>
      <c r="W398" s="5" t="s">
        <v>152</v>
      </c>
      <c r="X398" s="5">
        <v>0.64500000000000002</v>
      </c>
    </row>
    <row r="399" spans="1:24">
      <c r="A399" t="s">
        <v>100</v>
      </c>
      <c r="B399" t="s">
        <v>19</v>
      </c>
      <c r="C399" t="s">
        <v>31</v>
      </c>
      <c r="D399" t="s">
        <v>25</v>
      </c>
      <c r="E399" t="s">
        <v>19</v>
      </c>
      <c r="F399" t="s">
        <v>19</v>
      </c>
      <c r="G399" t="s">
        <v>19</v>
      </c>
      <c r="H399" t="s">
        <v>25</v>
      </c>
      <c r="I399" t="s">
        <v>19</v>
      </c>
      <c r="J399" t="s">
        <v>19</v>
      </c>
      <c r="K399" s="21" t="s">
        <v>607</v>
      </c>
      <c r="L399" s="5" t="s">
        <v>19</v>
      </c>
      <c r="M399" s="5" t="s">
        <v>19</v>
      </c>
      <c r="N399" s="5" t="s">
        <v>19</v>
      </c>
      <c r="O399" s="5" t="str">
        <f>HYPERLINK("http://www.lghausys.co.kr/popup/rn/download/downloadPopup.jsp?from=plwindow&amp;uu=/upload/window/REPORT/LGH-WA16-032.pdf","1등급")</f>
        <v>1등급</v>
      </c>
      <c r="P399" s="5" t="str">
        <f>HYPERLINK("http://www.lghausys.co.kr/popup/rn/download/downloadPopup.jsp?from=plwindow&amp;uu=/upload/window/REPORT/LGH-WA16-032.pdf","35등급")</f>
        <v>35등급</v>
      </c>
      <c r="Q399" s="5" t="str">
        <f>HYPERLINK("http://www.lghausys.co.kr/popup/rn/download/downloadPopup.jsp?from=plwindow&amp;uu=/upload/window/REPORT/LGH-WA16-032.pdf","400등급")</f>
        <v>400등급</v>
      </c>
      <c r="R399" s="5" t="s">
        <v>19</v>
      </c>
      <c r="S399" s="5" t="s">
        <v>19</v>
      </c>
      <c r="T399" s="5" t="s">
        <v>19</v>
      </c>
      <c r="U399" s="5" t="s">
        <v>19</v>
      </c>
      <c r="V399" s="5" t="s">
        <v>19</v>
      </c>
      <c r="W399" s="5" t="s">
        <v>152</v>
      </c>
      <c r="X399" s="5">
        <v>0.98499999999999999</v>
      </c>
    </row>
    <row r="400" spans="1:24">
      <c r="A400" t="s">
        <v>130</v>
      </c>
      <c r="B400" t="s">
        <v>19</v>
      </c>
      <c r="C400" t="s">
        <v>31</v>
      </c>
      <c r="D400" t="s">
        <v>25</v>
      </c>
      <c r="E400" t="s">
        <v>19</v>
      </c>
      <c r="F400" t="s">
        <v>19</v>
      </c>
      <c r="G400" t="s">
        <v>19</v>
      </c>
      <c r="H400" t="s">
        <v>19</v>
      </c>
      <c r="I400" t="s">
        <v>19</v>
      </c>
      <c r="J400" t="s">
        <v>19</v>
      </c>
      <c r="K400" s="21" t="s">
        <v>607</v>
      </c>
      <c r="L400" s="5" t="s">
        <v>19</v>
      </c>
      <c r="M400" s="5" t="s">
        <v>19</v>
      </c>
      <c r="N400" s="5" t="s">
        <v>19</v>
      </c>
      <c r="O400" s="5" t="str">
        <f>HYPERLINK("http://www.lghausys.co.kr/popup/rn/download/downloadPopup.jsp?from=plwindow&amp;uu=/upload/window/REPORT/LGH-WA16-033.pdf","2등급")</f>
        <v>2등급</v>
      </c>
      <c r="P400" s="5" t="str">
        <f>HYPERLINK("http://www.lghausys.co.kr/popup/rn/download/downloadPopup.jsp?from=plwindow&amp;uu=/upload/window/REPORT/LGH-WA16-033.pdf","15등급")</f>
        <v>15등급</v>
      </c>
      <c r="Q400" s="5" t="str">
        <f>HYPERLINK("http://www.lghausys.co.kr/popup/rn/download/downloadPopup.jsp?from=plwindow&amp;uu=/upload/window/REPORT/LGH-WA16-033.pdf","240등급")</f>
        <v>240등급</v>
      </c>
      <c r="R400" s="5" t="s">
        <v>19</v>
      </c>
      <c r="S400" s="5" t="s">
        <v>19</v>
      </c>
      <c r="T400" s="5" t="s">
        <v>19</v>
      </c>
      <c r="U400" s="5" t="s">
        <v>19</v>
      </c>
      <c r="V400" s="5" t="s">
        <v>19</v>
      </c>
      <c r="W400" s="5" t="s">
        <v>152</v>
      </c>
      <c r="X400" s="5">
        <v>0.98299999999999998</v>
      </c>
    </row>
    <row r="401" spans="1:24">
      <c r="A401" t="s">
        <v>19</v>
      </c>
      <c r="B401" t="s">
        <v>160</v>
      </c>
      <c r="C401" t="s">
        <v>31</v>
      </c>
      <c r="D401" t="s">
        <v>25</v>
      </c>
      <c r="E401" t="s">
        <v>19</v>
      </c>
      <c r="F401" t="s">
        <v>19</v>
      </c>
      <c r="G401" t="s">
        <v>19</v>
      </c>
      <c r="H401" t="s">
        <v>25</v>
      </c>
      <c r="I401" t="s">
        <v>19</v>
      </c>
      <c r="J401" t="s">
        <v>19</v>
      </c>
      <c r="K401" s="21" t="s">
        <v>607</v>
      </c>
      <c r="L401" s="5" t="s">
        <v>19</v>
      </c>
      <c r="M401" s="5" t="s">
        <v>19</v>
      </c>
      <c r="N401" s="5" t="s">
        <v>19</v>
      </c>
      <c r="O401" s="5" t="s">
        <v>19</v>
      </c>
      <c r="P401" s="5" t="str">
        <f>HYPERLINK("http://www.lghausys.co.kr/popup/rn/download/downloadPopup.jsp?from=plwindow&amp;uu=/upload/window/REPORT/LGH-WA16-038.pdf","50등급")</f>
        <v>50등급</v>
      </c>
      <c r="Q401" s="5" t="str">
        <f>HYPERLINK("http://www.lghausys.co.kr/popup/rn/download/downloadPopup.jsp?from=plwindow&amp;uu=/upload/window/REPORT/LGH-WA16-038.pdf","360등급")</f>
        <v>360등급</v>
      </c>
      <c r="R401" s="5" t="s">
        <v>19</v>
      </c>
      <c r="S401" s="5" t="s">
        <v>19</v>
      </c>
      <c r="T401" s="5" t="s">
        <v>19</v>
      </c>
      <c r="U401" s="5" t="s">
        <v>19</v>
      </c>
      <c r="V401" s="5" t="s">
        <v>19</v>
      </c>
      <c r="W401" s="5" t="s">
        <v>152</v>
      </c>
      <c r="X401" s="5">
        <v>2.7250000000000001</v>
      </c>
    </row>
    <row r="402" spans="1:24">
      <c r="A402" t="s">
        <v>19</v>
      </c>
      <c r="B402" t="s">
        <v>160</v>
      </c>
      <c r="C402" t="s">
        <v>31</v>
      </c>
      <c r="D402" t="s">
        <v>25</v>
      </c>
      <c r="E402" t="s">
        <v>19</v>
      </c>
      <c r="F402" t="s">
        <v>19</v>
      </c>
      <c r="G402" t="s">
        <v>19</v>
      </c>
      <c r="H402" t="s">
        <v>28</v>
      </c>
      <c r="I402" t="s">
        <v>19</v>
      </c>
      <c r="J402" t="s">
        <v>19</v>
      </c>
      <c r="K402" s="21" t="s">
        <v>607</v>
      </c>
      <c r="L402" s="5" t="s">
        <v>19</v>
      </c>
      <c r="M402" s="5" t="s">
        <v>19</v>
      </c>
      <c r="N402" s="5" t="s">
        <v>19</v>
      </c>
      <c r="O402" s="5" t="s">
        <v>19</v>
      </c>
      <c r="P402" s="5" t="str">
        <f>HYPERLINK("http://www.lghausys.co.kr/popup/rn/download/downloadPopup.jsp?from=plwindow&amp;uu=/upload/window/REPORT/LGH-WA16-039.pdf","50등급")</f>
        <v>50등급</v>
      </c>
      <c r="Q402" s="5" t="str">
        <f>HYPERLINK("http://www.lghausys.co.kr/popup/rn/download/downloadPopup.jsp?from=plwindow&amp;uu=/upload/window/REPORT/LGH-WA16-039.pdf","360등급")</f>
        <v>360등급</v>
      </c>
      <c r="R402" s="5" t="s">
        <v>19</v>
      </c>
      <c r="S402" s="5" t="s">
        <v>19</v>
      </c>
      <c r="T402" s="5" t="s">
        <v>19</v>
      </c>
      <c r="U402" s="5" t="s">
        <v>19</v>
      </c>
      <c r="V402" s="5" t="s">
        <v>19</v>
      </c>
      <c r="W402" s="5" t="s">
        <v>152</v>
      </c>
      <c r="X402" s="5">
        <v>2.0830000000000002</v>
      </c>
    </row>
    <row r="403" spans="1:24">
      <c r="A403" t="s">
        <v>19</v>
      </c>
      <c r="B403" t="s">
        <v>137</v>
      </c>
      <c r="C403" t="s">
        <v>31</v>
      </c>
      <c r="D403" t="s">
        <v>25</v>
      </c>
      <c r="E403" t="s">
        <v>19</v>
      </c>
      <c r="F403" t="s">
        <v>19</v>
      </c>
      <c r="G403" t="s">
        <v>19</v>
      </c>
      <c r="H403" t="s">
        <v>19</v>
      </c>
      <c r="I403" t="s">
        <v>19</v>
      </c>
      <c r="J403" t="s">
        <v>19</v>
      </c>
      <c r="K403" s="21" t="s">
        <v>607</v>
      </c>
      <c r="L403" s="5" t="s">
        <v>19</v>
      </c>
      <c r="M403" s="5" t="s">
        <v>19</v>
      </c>
      <c r="N403" s="5" t="s">
        <v>19</v>
      </c>
      <c r="O403" s="5" t="s">
        <v>19</v>
      </c>
      <c r="P403" s="5" t="str">
        <f>HYPERLINK("http://www.lghausys.co.kr/popup/rn/download/downloadPopup.jsp?from=plwindow&amp;uu=/upload/window/REPORT/LGH-WA16-040.pdf","15등급")</f>
        <v>15등급</v>
      </c>
      <c r="Q403" s="5" t="str">
        <f>HYPERLINK("http://www.lghausys.co.kr/popup/rn/download/downloadPopup.jsp?from=plwindow&amp;uu=/upload/window/REPORT/LGH-WA16-040.pdf","250등급")</f>
        <v>250등급</v>
      </c>
      <c r="R403" s="5" t="s">
        <v>19</v>
      </c>
      <c r="S403" s="5" t="s">
        <v>19</v>
      </c>
      <c r="T403" s="5" t="s">
        <v>19</v>
      </c>
      <c r="U403" s="5" t="s">
        <v>19</v>
      </c>
      <c r="V403" s="5" t="s">
        <v>19</v>
      </c>
      <c r="W403" s="5" t="s">
        <v>152</v>
      </c>
      <c r="X403" s="5">
        <v>2.71</v>
      </c>
    </row>
    <row r="404" spans="1:24">
      <c r="A404" t="s">
        <v>19</v>
      </c>
      <c r="B404" t="s">
        <v>137</v>
      </c>
      <c r="C404" t="s">
        <v>31</v>
      </c>
      <c r="D404" t="s">
        <v>28</v>
      </c>
      <c r="E404" t="s">
        <v>19</v>
      </c>
      <c r="F404" t="s">
        <v>19</v>
      </c>
      <c r="G404" t="s">
        <v>19</v>
      </c>
      <c r="H404" t="s">
        <v>19</v>
      </c>
      <c r="I404" t="s">
        <v>19</v>
      </c>
      <c r="J404" t="s">
        <v>19</v>
      </c>
      <c r="K404" s="21" t="s">
        <v>607</v>
      </c>
      <c r="L404" s="5" t="s">
        <v>19</v>
      </c>
      <c r="M404" s="5" t="s">
        <v>19</v>
      </c>
      <c r="N404" s="5" t="s">
        <v>19</v>
      </c>
      <c r="O404" s="5" t="s">
        <v>19</v>
      </c>
      <c r="P404" s="5" t="str">
        <f>HYPERLINK("http://www.lghausys.co.kr/popup/rn/download/downloadPopup.jsp?from=plwindow&amp;uu=/upload/window/REPORT/LGH-WA16-041.pdf","15등급")</f>
        <v>15등급</v>
      </c>
      <c r="Q404" s="5" t="str">
        <f>HYPERLINK("http://www.lghausys.co.kr/popup/rn/download/downloadPopup.jsp?from=plwindow&amp;uu=/upload/window/REPORT/LGH-WA16-041.pdf","250등급")</f>
        <v>250등급</v>
      </c>
      <c r="R404" s="5" t="s">
        <v>19</v>
      </c>
      <c r="S404" s="5" t="s">
        <v>19</v>
      </c>
      <c r="T404" s="5" t="s">
        <v>19</v>
      </c>
      <c r="U404" s="5" t="s">
        <v>19</v>
      </c>
      <c r="V404" s="5" t="s">
        <v>19</v>
      </c>
      <c r="W404" s="5" t="s">
        <v>152</v>
      </c>
      <c r="X404" s="5">
        <v>1.992</v>
      </c>
    </row>
    <row r="405" spans="1:24">
      <c r="A405" t="s">
        <v>57</v>
      </c>
      <c r="B405" t="s">
        <v>58</v>
      </c>
      <c r="C405" t="s">
        <v>31</v>
      </c>
      <c r="D405" t="s">
        <v>28</v>
      </c>
      <c r="E405" t="s">
        <v>19</v>
      </c>
      <c r="F405" t="s">
        <v>19</v>
      </c>
      <c r="G405" t="s">
        <v>19</v>
      </c>
      <c r="H405" t="s">
        <v>19</v>
      </c>
      <c r="I405" t="s">
        <v>19</v>
      </c>
      <c r="J405" t="s">
        <v>19</v>
      </c>
      <c r="K405" s="21" t="s">
        <v>607</v>
      </c>
      <c r="L405" s="5" t="s">
        <v>19</v>
      </c>
      <c r="M405" s="5" t="s">
        <v>19</v>
      </c>
      <c r="N405" s="5" t="s">
        <v>19</v>
      </c>
      <c r="O405" s="5" t="str">
        <f>HYPERLINK("http://www.lghausys.co.kr/popup/rn/download/downloadPopup.jsp?from=plwindow&amp;uu=/upload/window/REPORT/LGH-WA16-048.pdf","1등급")</f>
        <v>1등급</v>
      </c>
      <c r="P405" s="5" t="str">
        <f>HYPERLINK("http://www.lghausys.co.kr/popup/rn/download/downloadPopup.jsp?from=plwindow&amp;uu=/upload/window/REPORT/LGH-WA16-048.pdf","50등급")</f>
        <v>50등급</v>
      </c>
      <c r="Q405" s="5" t="str">
        <f>HYPERLINK("http://www.lghausys.co.kr/popup/rn/download/downloadPopup.jsp?from=plwindow&amp;uu=/upload/window/REPORT/LGH-WA16-048.pdf","160등급")</f>
        <v>160등급</v>
      </c>
      <c r="R405" s="5" t="s">
        <v>19</v>
      </c>
      <c r="S405" s="5" t="s">
        <v>19</v>
      </c>
      <c r="T405" s="5" t="s">
        <v>19</v>
      </c>
      <c r="U405" s="5" t="s">
        <v>19</v>
      </c>
      <c r="V405" s="5" t="s">
        <v>19</v>
      </c>
      <c r="W405" s="5" t="s">
        <v>152</v>
      </c>
      <c r="X405" s="5">
        <v>1.2110000000000001</v>
      </c>
    </row>
    <row r="406" spans="1:24">
      <c r="A406" t="s">
        <v>36</v>
      </c>
      <c r="B406" t="s">
        <v>19</v>
      </c>
      <c r="C406" t="s">
        <v>31</v>
      </c>
      <c r="D406" t="s">
        <v>51</v>
      </c>
      <c r="E406" t="s">
        <v>132</v>
      </c>
      <c r="F406" t="s">
        <v>19</v>
      </c>
      <c r="G406" t="s">
        <v>19</v>
      </c>
      <c r="H406" t="s">
        <v>19</v>
      </c>
      <c r="I406" t="s">
        <v>19</v>
      </c>
      <c r="J406" t="s">
        <v>19</v>
      </c>
      <c r="K406" s="21" t="s">
        <v>607</v>
      </c>
      <c r="L406" s="5" t="s">
        <v>19</v>
      </c>
      <c r="M406" s="5" t="s">
        <v>19</v>
      </c>
      <c r="N406" s="5" t="s">
        <v>19</v>
      </c>
      <c r="O406" s="5" t="s">
        <v>19</v>
      </c>
      <c r="P406" s="5" t="str">
        <f>HYPERLINK("http://www.lghausys.co.kr/popup/rn/download/downloadPopup.jsp?from=plwindow&amp;uu=/upload/window/REPORT/LGH-WA16-049.pdf","50등급")</f>
        <v>50등급</v>
      </c>
      <c r="Q406" s="5" t="str">
        <f>HYPERLINK("http://www.lghausys.co.kr/popup/rn/download/downloadPopup.jsp?from=plwindow&amp;uu=/upload/window/REPORT/LGH-WA16-049.pdf","280등급")</f>
        <v>280등급</v>
      </c>
      <c r="R406" s="5" t="s">
        <v>19</v>
      </c>
      <c r="S406" s="5" t="s">
        <v>19</v>
      </c>
      <c r="T406" s="5" t="s">
        <v>19</v>
      </c>
      <c r="U406" s="5" t="s">
        <v>19</v>
      </c>
      <c r="V406" s="5" t="s">
        <v>19</v>
      </c>
      <c r="W406" s="5" t="s">
        <v>152</v>
      </c>
      <c r="X406" s="5">
        <v>0.872</v>
      </c>
    </row>
    <row r="407" spans="1:24">
      <c r="A407" t="s">
        <v>27</v>
      </c>
      <c r="B407" t="s">
        <v>19</v>
      </c>
      <c r="C407" t="s">
        <v>31</v>
      </c>
      <c r="D407" t="s">
        <v>25</v>
      </c>
      <c r="E407" t="s">
        <v>147</v>
      </c>
      <c r="F407" t="s">
        <v>19</v>
      </c>
      <c r="G407" t="s">
        <v>19</v>
      </c>
      <c r="H407" t="s">
        <v>28</v>
      </c>
      <c r="I407" t="s">
        <v>19</v>
      </c>
      <c r="J407" t="s">
        <v>19</v>
      </c>
      <c r="K407" s="21" t="s">
        <v>607</v>
      </c>
      <c r="L407" s="5" t="s">
        <v>19</v>
      </c>
      <c r="M407" s="5" t="s">
        <v>19</v>
      </c>
      <c r="N407" s="5" t="s">
        <v>19</v>
      </c>
      <c r="O407" s="5" t="str">
        <f>HYPERLINK("http://www.lghausys.co.kr/popup/rn/download/downloadPopup.jsp?from=plwindow&amp;uu=/upload/window/REPORT/LGH-WA16-051.pdf","1등급")</f>
        <v>1등급</v>
      </c>
      <c r="P407" s="5" t="s">
        <v>19</v>
      </c>
      <c r="Q407" s="5" t="s">
        <v>19</v>
      </c>
      <c r="R407" s="5" t="s">
        <v>19</v>
      </c>
      <c r="S407" s="5" t="s">
        <v>19</v>
      </c>
      <c r="T407" s="5" t="s">
        <v>19</v>
      </c>
      <c r="U407" s="5" t="s">
        <v>19</v>
      </c>
      <c r="V407" s="5" t="s">
        <v>19</v>
      </c>
      <c r="W407" s="5" t="s">
        <v>152</v>
      </c>
      <c r="X407" s="5">
        <v>2.6669999999999998</v>
      </c>
    </row>
    <row r="408" spans="1:24">
      <c r="A408" t="s">
        <v>133</v>
      </c>
      <c r="B408" t="s">
        <v>19</v>
      </c>
      <c r="C408" t="s">
        <v>31</v>
      </c>
      <c r="D408" t="s">
        <v>25</v>
      </c>
      <c r="E408" t="s">
        <v>161</v>
      </c>
      <c r="F408" t="s">
        <v>19</v>
      </c>
      <c r="G408" t="s">
        <v>19</v>
      </c>
      <c r="H408" t="s">
        <v>25</v>
      </c>
      <c r="I408" t="s">
        <v>19</v>
      </c>
      <c r="J408" t="s">
        <v>19</v>
      </c>
      <c r="K408" s="21" t="s">
        <v>607</v>
      </c>
      <c r="L408" s="5" t="s">
        <v>19</v>
      </c>
      <c r="M408" s="5" t="s">
        <v>19</v>
      </c>
      <c r="N408" s="5" t="s">
        <v>19</v>
      </c>
      <c r="O408" s="5" t="s">
        <v>19</v>
      </c>
      <c r="P408" s="5" t="str">
        <f>HYPERLINK("http://www.lghausys.co.kr/popup/rn/download/downloadPopup.jsp?from=plwindow&amp;uu=/upload/window/REPORT/LGH-WA16-061.pdf","50등급")</f>
        <v>50등급</v>
      </c>
      <c r="Q408" s="5" t="str">
        <f>HYPERLINK("http://www.lghausys.co.kr/popup/rn/download/downloadPopup.jsp?from=plwindow&amp;uu=/upload/window/REPORT/LGH-WA16-061.pdf","400등급")</f>
        <v>400등급</v>
      </c>
      <c r="R408" s="5" t="s">
        <v>19</v>
      </c>
      <c r="S408" s="5" t="s">
        <v>19</v>
      </c>
      <c r="T408" s="5" t="s">
        <v>19</v>
      </c>
      <c r="U408" s="5" t="s">
        <v>19</v>
      </c>
      <c r="V408" s="5" t="s">
        <v>19</v>
      </c>
      <c r="W408" s="5" t="s">
        <v>152</v>
      </c>
      <c r="X408" s="5">
        <v>1.8280000000000001</v>
      </c>
    </row>
    <row r="409" spans="1:24">
      <c r="A409" t="s">
        <v>135</v>
      </c>
      <c r="B409" t="s">
        <v>19</v>
      </c>
      <c r="C409" t="s">
        <v>31</v>
      </c>
      <c r="D409" t="s">
        <v>25</v>
      </c>
      <c r="E409" t="s">
        <v>161</v>
      </c>
      <c r="F409" t="s">
        <v>19</v>
      </c>
      <c r="G409" t="s">
        <v>19</v>
      </c>
      <c r="H409" t="s">
        <v>25</v>
      </c>
      <c r="I409" t="s">
        <v>19</v>
      </c>
      <c r="J409" t="s">
        <v>19</v>
      </c>
      <c r="K409" s="21" t="s">
        <v>607</v>
      </c>
      <c r="L409" s="5" t="s">
        <v>19</v>
      </c>
      <c r="M409" s="5" t="s">
        <v>19</v>
      </c>
      <c r="N409" s="5" t="s">
        <v>19</v>
      </c>
      <c r="O409" s="5" t="s">
        <v>19</v>
      </c>
      <c r="P409" s="5" t="str">
        <f>HYPERLINK("http://www.lghausys.co.kr/popup/rn/download/downloadPopup.jsp?from=plwindow&amp;uu=/upload/window/REPORT/LGH-WA16-062.pdf","50등급")</f>
        <v>50등급</v>
      </c>
      <c r="Q409" s="5" t="str">
        <f>HYPERLINK("http://www.lghausys.co.kr/popup/rn/download/downloadPopup.jsp?from=plwindow&amp;uu=/upload/window/REPORT/LGH-WA16-062.pdf","400등급")</f>
        <v>400등급</v>
      </c>
      <c r="R409" s="5" t="s">
        <v>19</v>
      </c>
      <c r="S409" s="5" t="s">
        <v>19</v>
      </c>
      <c r="T409" s="5" t="s">
        <v>19</v>
      </c>
      <c r="U409" s="5" t="s">
        <v>19</v>
      </c>
      <c r="V409" s="5" t="s">
        <v>19</v>
      </c>
      <c r="W409" s="5" t="s">
        <v>152</v>
      </c>
      <c r="X409" s="5">
        <v>2.6320000000000001</v>
      </c>
    </row>
    <row r="410" spans="1:24">
      <c r="A410" t="s">
        <v>136</v>
      </c>
      <c r="B410" t="s">
        <v>19</v>
      </c>
      <c r="C410" t="s">
        <v>31</v>
      </c>
      <c r="D410" t="s">
        <v>25</v>
      </c>
      <c r="E410" t="s">
        <v>161</v>
      </c>
      <c r="F410" t="s">
        <v>19</v>
      </c>
      <c r="G410" t="s">
        <v>19</v>
      </c>
      <c r="H410" t="s">
        <v>19</v>
      </c>
      <c r="I410" t="s">
        <v>19</v>
      </c>
      <c r="J410" t="s">
        <v>19</v>
      </c>
      <c r="K410" s="21" t="s">
        <v>607</v>
      </c>
      <c r="L410" s="5" t="s">
        <v>19</v>
      </c>
      <c r="M410" s="5" t="s">
        <v>19</v>
      </c>
      <c r="N410" s="5" t="s">
        <v>19</v>
      </c>
      <c r="O410" s="5" t="s">
        <v>19</v>
      </c>
      <c r="P410" s="5" t="str">
        <f>HYPERLINK("http://www.lghausys.co.kr/popup/rn/download/downloadPopup.jsp?from=plwindow&amp;uu=/upload/window/REPORT/LGH-WA16-063.pdf","25등급")</f>
        <v>25등급</v>
      </c>
      <c r="Q410" s="5" t="str">
        <f>HYPERLINK("http://www.lghausys.co.kr/popup/rn/download/downloadPopup.jsp?from=plwindow&amp;uu=/upload/window/REPORT/LGH-WA16-063.pdf","300등급")</f>
        <v>300등급</v>
      </c>
      <c r="R410" s="5" t="s">
        <v>19</v>
      </c>
      <c r="S410" s="5" t="s">
        <v>19</v>
      </c>
      <c r="T410" s="5" t="s">
        <v>19</v>
      </c>
      <c r="U410" s="5" t="s">
        <v>19</v>
      </c>
      <c r="V410" s="5" t="s">
        <v>19</v>
      </c>
      <c r="W410" s="5" t="s">
        <v>152</v>
      </c>
      <c r="X410" s="5">
        <v>0.87</v>
      </c>
    </row>
    <row r="411" spans="1:24">
      <c r="A411" t="s">
        <v>69</v>
      </c>
      <c r="B411" t="s">
        <v>19</v>
      </c>
      <c r="C411" t="s">
        <v>31</v>
      </c>
      <c r="D411" t="s">
        <v>56</v>
      </c>
      <c r="E411" t="s">
        <v>19</v>
      </c>
      <c r="F411" t="s">
        <v>19</v>
      </c>
      <c r="G411" t="s">
        <v>19</v>
      </c>
      <c r="H411" t="s">
        <v>19</v>
      </c>
      <c r="I411" t="s">
        <v>19</v>
      </c>
      <c r="J411" t="s">
        <v>19</v>
      </c>
      <c r="K411" s="21" t="s">
        <v>607</v>
      </c>
      <c r="L411" s="5" t="s">
        <v>19</v>
      </c>
      <c r="M411" s="5" t="s">
        <v>19</v>
      </c>
      <c r="N411" s="5" t="s">
        <v>19</v>
      </c>
      <c r="O411" s="5" t="str">
        <f>HYPERLINK("http://www.lghausys.co.kr/popup/rn/download/downloadPopup.jsp?from=plwindow&amp;uu=/upload/window/REPORT/LGH-WA16-064.pdf","1등급")</f>
        <v>1등급</v>
      </c>
      <c r="P411" s="5" t="s">
        <v>19</v>
      </c>
      <c r="Q411" s="5" t="s">
        <v>19</v>
      </c>
      <c r="R411" s="5" t="s">
        <v>19</v>
      </c>
      <c r="S411" s="5" t="s">
        <v>19</v>
      </c>
      <c r="T411" s="5" t="s">
        <v>19</v>
      </c>
      <c r="U411" s="5" t="s">
        <v>19</v>
      </c>
      <c r="V411" s="5" t="s">
        <v>19</v>
      </c>
      <c r="W411" s="5" t="s">
        <v>152</v>
      </c>
      <c r="X411" s="5">
        <v>0.90700000000000003</v>
      </c>
    </row>
    <row r="412" spans="1:24">
      <c r="A412" t="s">
        <v>72</v>
      </c>
      <c r="B412" t="s">
        <v>19</v>
      </c>
      <c r="C412" t="s">
        <v>31</v>
      </c>
      <c r="D412" t="s">
        <v>25</v>
      </c>
      <c r="E412" t="s">
        <v>19</v>
      </c>
      <c r="F412" t="s">
        <v>19</v>
      </c>
      <c r="G412" t="s">
        <v>19</v>
      </c>
      <c r="H412" t="s">
        <v>19</v>
      </c>
      <c r="I412" t="s">
        <v>19</v>
      </c>
      <c r="J412" t="s">
        <v>19</v>
      </c>
      <c r="K412" s="21" t="s">
        <v>607</v>
      </c>
      <c r="L412" s="5" t="s">
        <v>19</v>
      </c>
      <c r="M412" s="5" t="s">
        <v>19</v>
      </c>
      <c r="N412" s="5" t="s">
        <v>19</v>
      </c>
      <c r="O412" s="5" t="str">
        <f>HYPERLINK("http://www.lghausys.co.kr/popup/rn/download/downloadPopup.jsp?from=plwindow&amp;uu=/upload/window/REPORT/LGH-WA16-066.pdf","2등급")</f>
        <v>2등급</v>
      </c>
      <c r="P412" s="5" t="s">
        <v>19</v>
      </c>
      <c r="Q412" s="5" t="s">
        <v>19</v>
      </c>
      <c r="R412" s="5" t="s">
        <v>19</v>
      </c>
      <c r="S412" s="5" t="s">
        <v>19</v>
      </c>
      <c r="T412" s="5" t="s">
        <v>19</v>
      </c>
      <c r="U412" s="5" t="s">
        <v>19</v>
      </c>
      <c r="V412" s="5" t="s">
        <v>19</v>
      </c>
      <c r="W412" s="5" t="s">
        <v>152</v>
      </c>
      <c r="X412" s="5">
        <v>0.71599999999999997</v>
      </c>
    </row>
    <row r="413" spans="1:24">
      <c r="A413" t="s">
        <v>72</v>
      </c>
      <c r="B413" t="s">
        <v>19</v>
      </c>
      <c r="C413" t="s">
        <v>31</v>
      </c>
      <c r="D413" t="s">
        <v>41</v>
      </c>
      <c r="E413" t="s">
        <v>19</v>
      </c>
      <c r="F413" t="s">
        <v>19</v>
      </c>
      <c r="G413" t="s">
        <v>19</v>
      </c>
      <c r="H413" t="s">
        <v>19</v>
      </c>
      <c r="I413" t="s">
        <v>19</v>
      </c>
      <c r="J413" t="s">
        <v>19</v>
      </c>
      <c r="K413" s="21" t="s">
        <v>607</v>
      </c>
      <c r="L413" s="5" t="s">
        <v>19</v>
      </c>
      <c r="M413" s="5" t="s">
        <v>19</v>
      </c>
      <c r="N413" s="5" t="s">
        <v>19</v>
      </c>
      <c r="O413" s="5" t="str">
        <f>HYPERLINK("http://www.lghausys.co.kr/popup/rn/download/downloadPopup.jsp?from=plwindow&amp;uu=/upload/window/REPORT/LGH-WA16-067.pdf","2등급")</f>
        <v>2등급</v>
      </c>
      <c r="P413" s="5" t="s">
        <v>19</v>
      </c>
      <c r="Q413" s="5" t="s">
        <v>19</v>
      </c>
      <c r="R413" s="5" t="s">
        <v>19</v>
      </c>
      <c r="S413" s="5" t="s">
        <v>19</v>
      </c>
      <c r="T413" s="5" t="s">
        <v>19</v>
      </c>
      <c r="U413" s="5" t="s">
        <v>19</v>
      </c>
      <c r="V413" s="5" t="s">
        <v>19</v>
      </c>
      <c r="W413" s="5" t="s">
        <v>152</v>
      </c>
      <c r="X413" s="5">
        <v>0.99199999999999999</v>
      </c>
    </row>
    <row r="414" spans="1:24">
      <c r="A414" t="s">
        <v>19</v>
      </c>
      <c r="B414" t="s">
        <v>93</v>
      </c>
      <c r="C414" t="s">
        <v>31</v>
      </c>
      <c r="D414" t="s">
        <v>25</v>
      </c>
      <c r="E414" t="s">
        <v>19</v>
      </c>
      <c r="F414" t="s">
        <v>19</v>
      </c>
      <c r="G414" t="s">
        <v>19</v>
      </c>
      <c r="H414" t="s">
        <v>19</v>
      </c>
      <c r="I414" t="s">
        <v>19</v>
      </c>
      <c r="J414" t="s">
        <v>19</v>
      </c>
      <c r="K414" s="21" t="s">
        <v>607</v>
      </c>
      <c r="L414" s="5" t="s">
        <v>19</v>
      </c>
      <c r="M414" s="5" t="s">
        <v>19</v>
      </c>
      <c r="N414" s="5" t="s">
        <v>19</v>
      </c>
      <c r="O414" s="5" t="str">
        <f>HYPERLINK("http://www.lghausys.co.kr/popup/rn/download/downloadPopup.jsp?from=plwindow&amp;uu=/upload/window/REPORT/LGH-WA16-068.pdf","2등급")</f>
        <v>2등급</v>
      </c>
      <c r="P414" s="5" t="s">
        <v>19</v>
      </c>
      <c r="Q414" s="5" t="s">
        <v>19</v>
      </c>
      <c r="R414" s="5" t="s">
        <v>19</v>
      </c>
      <c r="S414" s="5" t="s">
        <v>19</v>
      </c>
      <c r="T414" s="5" t="s">
        <v>19</v>
      </c>
      <c r="U414" s="5" t="s">
        <v>19</v>
      </c>
      <c r="V414" s="5" t="s">
        <v>19</v>
      </c>
      <c r="W414" s="5" t="s">
        <v>152</v>
      </c>
      <c r="X414" s="5">
        <v>1.946</v>
      </c>
    </row>
    <row r="415" spans="1:24">
      <c r="A415" t="s">
        <v>19</v>
      </c>
      <c r="B415" t="s">
        <v>93</v>
      </c>
      <c r="C415" t="s">
        <v>31</v>
      </c>
      <c r="D415" t="s">
        <v>41</v>
      </c>
      <c r="E415" t="s">
        <v>19</v>
      </c>
      <c r="F415" t="s">
        <v>19</v>
      </c>
      <c r="G415" t="s">
        <v>19</v>
      </c>
      <c r="H415" t="s">
        <v>19</v>
      </c>
      <c r="I415" t="s">
        <v>19</v>
      </c>
      <c r="J415" t="s">
        <v>19</v>
      </c>
      <c r="K415" s="21" t="s">
        <v>607</v>
      </c>
      <c r="L415" s="5" t="s">
        <v>19</v>
      </c>
      <c r="M415" s="5" t="s">
        <v>19</v>
      </c>
      <c r="N415" s="5" t="s">
        <v>19</v>
      </c>
      <c r="O415" s="5" t="str">
        <f>HYPERLINK("http://www.lghausys.co.kr/popup/rn/download/downloadPopup.jsp?from=plwindow&amp;uu=/upload/window/REPORT/LGH-WA16-069.pdf","2등급")</f>
        <v>2등급</v>
      </c>
      <c r="P415" s="5" t="s">
        <v>19</v>
      </c>
      <c r="Q415" s="5" t="s">
        <v>19</v>
      </c>
      <c r="R415" s="5" t="s">
        <v>19</v>
      </c>
      <c r="S415" s="5" t="s">
        <v>19</v>
      </c>
      <c r="T415" s="5" t="s">
        <v>19</v>
      </c>
      <c r="U415" s="5" t="s">
        <v>19</v>
      </c>
      <c r="V415" s="5" t="s">
        <v>19</v>
      </c>
      <c r="W415" s="5" t="s">
        <v>152</v>
      </c>
      <c r="X415" s="5">
        <v>0.95900000000000007</v>
      </c>
    </row>
    <row r="416" spans="1:24">
      <c r="A416" t="s">
        <v>19</v>
      </c>
      <c r="B416" t="s">
        <v>160</v>
      </c>
      <c r="C416" t="s">
        <v>31</v>
      </c>
      <c r="D416" t="s">
        <v>25</v>
      </c>
      <c r="E416" t="s">
        <v>19</v>
      </c>
      <c r="F416" t="s">
        <v>19</v>
      </c>
      <c r="G416" t="s">
        <v>19</v>
      </c>
      <c r="H416" t="s">
        <v>28</v>
      </c>
      <c r="I416" t="s">
        <v>19</v>
      </c>
      <c r="J416" t="s">
        <v>19</v>
      </c>
      <c r="K416" s="21" t="s">
        <v>607</v>
      </c>
      <c r="L416" s="5" t="s">
        <v>19</v>
      </c>
      <c r="M416" s="5" t="s">
        <v>19</v>
      </c>
      <c r="N416" s="5" t="s">
        <v>19</v>
      </c>
      <c r="O416" s="5" t="str">
        <f>HYPERLINK("http://www.lghausys.co.kr/popup/rn/download/downloadPopup.jsp?from=plwindow&amp;uu=/upload/window/REPORT/LGH-WA16-089.pdf","1등급")</f>
        <v>1등급</v>
      </c>
      <c r="P416" s="5" t="str">
        <f>HYPERLINK("http://www.lghausys.co.kr/popup/rn/download/downloadPopup.jsp?from=plwindow&amp;uu=/upload/window/REPORT/LGH-WA16-089.pdf","50등급")</f>
        <v>50등급</v>
      </c>
      <c r="Q416" s="5" t="str">
        <f>HYPERLINK("http://www.lghausys.co.kr/popup/rn/download/downloadPopup.jsp?from=plwindow&amp;uu=/upload/window/REPORT/LGH-WA16-089.pdf","400등급")</f>
        <v>400등급</v>
      </c>
      <c r="R416" s="5" t="s">
        <v>19</v>
      </c>
      <c r="S416" s="5" t="s">
        <v>19</v>
      </c>
      <c r="T416" s="5" t="s">
        <v>19</v>
      </c>
      <c r="U416" s="5" t="s">
        <v>19</v>
      </c>
      <c r="V416" s="5" t="s">
        <v>19</v>
      </c>
      <c r="W416" s="5" t="s">
        <v>152</v>
      </c>
      <c r="X416" s="5">
        <v>1.883</v>
      </c>
    </row>
    <row r="417" spans="1:24">
      <c r="A417" t="s">
        <v>19</v>
      </c>
      <c r="B417" t="s">
        <v>137</v>
      </c>
      <c r="C417" t="s">
        <v>31</v>
      </c>
      <c r="D417" t="s">
        <v>28</v>
      </c>
      <c r="E417" t="s">
        <v>19</v>
      </c>
      <c r="F417" t="s">
        <v>19</v>
      </c>
      <c r="G417" t="s">
        <v>19</v>
      </c>
      <c r="H417" t="s">
        <v>19</v>
      </c>
      <c r="I417" t="s">
        <v>19</v>
      </c>
      <c r="J417" t="s">
        <v>19</v>
      </c>
      <c r="K417" s="21" t="s">
        <v>607</v>
      </c>
      <c r="L417" s="5" t="s">
        <v>19</v>
      </c>
      <c r="M417" s="5" t="s">
        <v>19</v>
      </c>
      <c r="N417" s="5" t="s">
        <v>19</v>
      </c>
      <c r="O417" s="5" t="str">
        <f>HYPERLINK("http://www.lghausys.co.kr/popup/rn/download/downloadPopup.jsp?from=plwindow&amp;uu=/upload/window/REPORT/LGH-WA16-090.pdf","2등급")</f>
        <v>2등급</v>
      </c>
      <c r="P417" s="5" t="str">
        <f>HYPERLINK("http://www.lghausys.co.kr/popup/rn/download/downloadPopup.jsp?from=plwindow&amp;uu=/upload/window/REPORT/LGH-WA16-090.pdf","15등급")</f>
        <v>15등급</v>
      </c>
      <c r="Q417" s="5" t="str">
        <f>HYPERLINK("http://www.lghausys.co.kr/popup/rn/download/downloadPopup.jsp?from=plwindow&amp;uu=/upload/window/REPORT/LGH-WA16-090.pdf","240등급")</f>
        <v>240등급</v>
      </c>
      <c r="R417" s="5" t="s">
        <v>19</v>
      </c>
      <c r="S417" s="5" t="s">
        <v>19</v>
      </c>
      <c r="T417" s="5" t="s">
        <v>19</v>
      </c>
      <c r="U417" s="5" t="s">
        <v>19</v>
      </c>
      <c r="V417" s="5" t="s">
        <v>19</v>
      </c>
      <c r="W417" s="5" t="s">
        <v>152</v>
      </c>
      <c r="X417" s="5">
        <v>0.95599999999999996</v>
      </c>
    </row>
    <row r="418" spans="1:24">
      <c r="A418" t="s">
        <v>27</v>
      </c>
      <c r="B418" t="s">
        <v>19</v>
      </c>
      <c r="C418" t="s">
        <v>31</v>
      </c>
      <c r="D418" t="s">
        <v>25</v>
      </c>
      <c r="E418" t="s">
        <v>162</v>
      </c>
      <c r="F418" t="s">
        <v>19</v>
      </c>
      <c r="G418" t="s">
        <v>19</v>
      </c>
      <c r="H418" t="s">
        <v>28</v>
      </c>
      <c r="I418" t="s">
        <v>19</v>
      </c>
      <c r="J418" t="s">
        <v>19</v>
      </c>
      <c r="K418" s="21" t="s">
        <v>607</v>
      </c>
      <c r="L418" s="5" t="s">
        <v>19</v>
      </c>
      <c r="M418" s="5" t="s">
        <v>19</v>
      </c>
      <c r="N418" s="5" t="s">
        <v>19</v>
      </c>
      <c r="O418" s="5" t="str">
        <f>HYPERLINK("http://www.lghausys.co.kr/popup/rn/download/downloadPopup.jsp?from=plwindow&amp;uu=/upload/window/REPORT/LGH-WA16-125.pdf","1등급")</f>
        <v>1등급</v>
      </c>
      <c r="P418" s="5" t="str">
        <f>HYPERLINK("http://www.lghausys.co.kr/popup/rn/download/downloadPopup.jsp?from=plwindow&amp;uu=/upload/window/REPORT/LGH-WA16-125.pdf","35등급")</f>
        <v>35등급</v>
      </c>
      <c r="Q418" s="5" t="str">
        <f>HYPERLINK("http://www.lghausys.co.kr/popup/rn/download/downloadPopup.jsp?from=plwindow&amp;uu=/upload/window/REPORT/LGH-WA16-125.pdf","400등급")</f>
        <v>400등급</v>
      </c>
      <c r="R418" s="5" t="s">
        <v>19</v>
      </c>
      <c r="S418" s="5" t="s">
        <v>19</v>
      </c>
      <c r="T418" s="5" t="s">
        <v>19</v>
      </c>
      <c r="U418" s="5" t="s">
        <v>19</v>
      </c>
      <c r="V418" s="5" t="s">
        <v>19</v>
      </c>
      <c r="W418" s="5" t="s">
        <v>152</v>
      </c>
      <c r="X418" s="5">
        <v>1.742</v>
      </c>
    </row>
    <row r="419" spans="1:24">
      <c r="A419" t="s">
        <v>39</v>
      </c>
      <c r="B419" t="s">
        <v>19</v>
      </c>
      <c r="C419" t="s">
        <v>31</v>
      </c>
      <c r="D419" t="s">
        <v>113</v>
      </c>
      <c r="E419" t="s">
        <v>163</v>
      </c>
      <c r="F419" t="s">
        <v>19</v>
      </c>
      <c r="G419" t="s">
        <v>19</v>
      </c>
      <c r="H419" t="s">
        <v>19</v>
      </c>
      <c r="I419" t="s">
        <v>19</v>
      </c>
      <c r="J419" t="s">
        <v>19</v>
      </c>
      <c r="K419" s="21" t="s">
        <v>607</v>
      </c>
      <c r="L419" s="5" t="s">
        <v>19</v>
      </c>
      <c r="M419" s="5" t="s">
        <v>19</v>
      </c>
      <c r="N419" s="5" t="s">
        <v>19</v>
      </c>
      <c r="O419" s="5" t="str">
        <f>HYPERLINK("http://www.lghausys.co.kr/popup/rn/download/downloadPopup.jsp?from=plwindow&amp;uu=/upload/window/REPORT/LGH-WA16-126.pdf","1등급")</f>
        <v>1등급</v>
      </c>
      <c r="P419" s="5" t="str">
        <f>HYPERLINK("http://www.lghausys.co.kr/popup/rn/download/downloadPopup.jsp?from=plwindow&amp;uu=/upload/window/REPORT/LGH-WA16-126.pdf","35등급")</f>
        <v>35등급</v>
      </c>
      <c r="Q419" s="5" t="str">
        <f>HYPERLINK("http://www.lghausys.co.kr/popup/rn/download/downloadPopup.jsp?from=plwindow&amp;uu=/upload/window/REPORT/LGH-WA16-126.pdf","400등급")</f>
        <v>400등급</v>
      </c>
      <c r="R419" s="5" t="s">
        <v>19</v>
      </c>
      <c r="S419" s="5" t="s">
        <v>19</v>
      </c>
      <c r="T419" s="5" t="s">
        <v>19</v>
      </c>
      <c r="U419" s="5" t="s">
        <v>19</v>
      </c>
      <c r="V419" s="5" t="s">
        <v>19</v>
      </c>
      <c r="W419" s="5" t="s">
        <v>152</v>
      </c>
      <c r="X419" s="5">
        <v>1.5629999999999999</v>
      </c>
    </row>
    <row r="420" spans="1:24">
      <c r="A420" t="s">
        <v>19</v>
      </c>
      <c r="B420" t="s">
        <v>164</v>
      </c>
      <c r="C420" t="s">
        <v>31</v>
      </c>
      <c r="D420" t="s">
        <v>25</v>
      </c>
      <c r="E420" t="s">
        <v>19</v>
      </c>
      <c r="F420" t="s">
        <v>19</v>
      </c>
      <c r="G420" t="s">
        <v>19</v>
      </c>
      <c r="H420" t="s">
        <v>28</v>
      </c>
      <c r="I420" t="s">
        <v>19</v>
      </c>
      <c r="J420" t="s">
        <v>19</v>
      </c>
      <c r="K420" s="21" t="s">
        <v>607</v>
      </c>
      <c r="L420" s="5" t="s">
        <v>19</v>
      </c>
      <c r="M420" s="5" t="s">
        <v>19</v>
      </c>
      <c r="N420" s="5" t="s">
        <v>19</v>
      </c>
      <c r="O420" s="5" t="str">
        <f>HYPERLINK("http://www.lghausys.co.kr/popup/rn/download/downloadPopup.jsp?from=plwindow&amp;uu=/upload/window/REPORT/LGH-WA16-133.pdf","1등급")</f>
        <v>1등급</v>
      </c>
      <c r="P420" s="5" t="str">
        <f>HYPERLINK("http://www.lghausys.co.kr/popup/rn/download/downloadPopup.jsp?from=plwindow&amp;uu=/upload/window/REPORT/LGH-WA16-133.pdf","50등급")</f>
        <v>50등급</v>
      </c>
      <c r="Q420" s="5" t="str">
        <f>HYPERLINK("http://www.lghausys.co.kr/popup/rn/download/downloadPopup.jsp?from=plwindow&amp;uu=/upload/window/REPORT/LGH-WA16-133.pdf","400등급")</f>
        <v>400등급</v>
      </c>
      <c r="R420" s="5" t="s">
        <v>19</v>
      </c>
      <c r="S420" s="5" t="s">
        <v>19</v>
      </c>
      <c r="T420" s="5" t="s">
        <v>19</v>
      </c>
      <c r="U420" s="5" t="s">
        <v>19</v>
      </c>
      <c r="V420" s="5" t="s">
        <v>19</v>
      </c>
      <c r="W420" s="5" t="s">
        <v>152</v>
      </c>
      <c r="X420" s="5">
        <v>0.75800000000000001</v>
      </c>
    </row>
    <row r="421" spans="1:24">
      <c r="A421" t="s">
        <v>19</v>
      </c>
      <c r="B421" t="s">
        <v>143</v>
      </c>
      <c r="C421" t="s">
        <v>31</v>
      </c>
      <c r="D421" t="s">
        <v>28</v>
      </c>
      <c r="E421" t="s">
        <v>19</v>
      </c>
      <c r="F421" t="s">
        <v>19</v>
      </c>
      <c r="G421" t="s">
        <v>19</v>
      </c>
      <c r="H421" t="s">
        <v>19</v>
      </c>
      <c r="I421" t="s">
        <v>19</v>
      </c>
      <c r="J421" t="s">
        <v>19</v>
      </c>
      <c r="K421" s="21" t="s">
        <v>607</v>
      </c>
      <c r="L421" s="5" t="s">
        <v>19</v>
      </c>
      <c r="M421" s="5" t="s">
        <v>19</v>
      </c>
      <c r="N421" s="5" t="s">
        <v>19</v>
      </c>
      <c r="O421" s="5" t="str">
        <f>HYPERLINK("http://www.lghausys.co.kr/popup/rn/download/downloadPopup.jsp?from=plwindow&amp;uu=/upload/window/REPORT/LGH-WA16-134.pdf","2등급")</f>
        <v>2등급</v>
      </c>
      <c r="P421" s="5" t="str">
        <f>HYPERLINK("http://www.lghausys.co.kr/popup/rn/download/downloadPopup.jsp?from=plwindow&amp;uu=/upload/window/REPORT/LGH-WA16-134.pdf","15등급")</f>
        <v>15등급</v>
      </c>
      <c r="Q421" s="5" t="str">
        <f>HYPERLINK("http://www.lghausys.co.kr/popup/rn/download/downloadPopup.jsp?from=plwindow&amp;uu=/upload/window/REPORT/LGH-WA16-134.pdf","240등급")</f>
        <v>240등급</v>
      </c>
      <c r="R421" s="5" t="s">
        <v>19</v>
      </c>
      <c r="S421" s="5" t="s">
        <v>19</v>
      </c>
      <c r="T421" s="5" t="s">
        <v>19</v>
      </c>
      <c r="U421" s="5" t="s">
        <v>19</v>
      </c>
      <c r="V421" s="5" t="s">
        <v>19</v>
      </c>
      <c r="W421" s="5" t="s">
        <v>152</v>
      </c>
      <c r="X421" s="5">
        <v>0.81799999999999995</v>
      </c>
    </row>
    <row r="422" spans="1:24">
      <c r="A422" t="s">
        <v>61</v>
      </c>
      <c r="B422" t="s">
        <v>19</v>
      </c>
      <c r="C422" t="s">
        <v>31</v>
      </c>
      <c r="D422" t="s">
        <v>53</v>
      </c>
      <c r="E422" t="s">
        <v>19</v>
      </c>
      <c r="F422" t="s">
        <v>19</v>
      </c>
      <c r="G422" t="s">
        <v>19</v>
      </c>
      <c r="H422" t="s">
        <v>19</v>
      </c>
      <c r="I422" t="s">
        <v>19</v>
      </c>
      <c r="J422" t="s">
        <v>97</v>
      </c>
      <c r="K422" s="21" t="s">
        <v>607</v>
      </c>
      <c r="L422" s="5" t="s">
        <v>19</v>
      </c>
      <c r="M422" s="5" t="s">
        <v>19</v>
      </c>
      <c r="N422" s="5" t="s">
        <v>19</v>
      </c>
      <c r="O422" s="5" t="str">
        <f>HYPERLINK("http://www.lghausys.co.kr/popup/rn/download/downloadPopup.jsp?from=plwindow&amp;uu=/upload/window/REPORT/LGH-WA16-149.pdf","2등급")</f>
        <v>2등급</v>
      </c>
      <c r="P422" s="5" t="str">
        <f>HYPERLINK("http://www.lghausys.co.kr/popup/rn/download/downloadPopup.jsp?from=plwindow&amp;uu=/upload/window/REPORT/LGH-WA16-149.pdf","15등급")</f>
        <v>15등급</v>
      </c>
      <c r="Q422" s="5" t="str">
        <f>HYPERLINK("http://www.lghausys.co.kr/popup/rn/download/downloadPopup.jsp?from=plwindow&amp;uu=/upload/window/REPORT/LGH-WA16-149.pdf","240등급")</f>
        <v>240등급</v>
      </c>
      <c r="R422" s="5" t="s">
        <v>19</v>
      </c>
      <c r="S422" s="5" t="s">
        <v>19</v>
      </c>
      <c r="T422" s="5" t="s">
        <v>19</v>
      </c>
      <c r="U422" s="5" t="s">
        <v>19</v>
      </c>
      <c r="V422" s="5" t="s">
        <v>19</v>
      </c>
      <c r="W422" s="5" t="s">
        <v>152</v>
      </c>
      <c r="X422" s="5">
        <v>0.85299999999999998</v>
      </c>
    </row>
    <row r="423" spans="1:24">
      <c r="A423" t="s">
        <v>61</v>
      </c>
      <c r="B423" t="s">
        <v>19</v>
      </c>
      <c r="C423" t="s">
        <v>31</v>
      </c>
      <c r="D423" t="s">
        <v>64</v>
      </c>
      <c r="E423" t="s">
        <v>19</v>
      </c>
      <c r="F423" t="s">
        <v>19</v>
      </c>
      <c r="G423" t="s">
        <v>19</v>
      </c>
      <c r="H423" t="s">
        <v>19</v>
      </c>
      <c r="I423" t="s">
        <v>19</v>
      </c>
      <c r="J423" t="s">
        <v>97</v>
      </c>
      <c r="K423" s="21" t="s">
        <v>607</v>
      </c>
      <c r="L423" s="5" t="s">
        <v>19</v>
      </c>
      <c r="M423" s="5" t="s">
        <v>19</v>
      </c>
      <c r="N423" s="5" t="s">
        <v>19</v>
      </c>
      <c r="O423" s="5" t="str">
        <f>HYPERLINK("http://www.lghausys.co.kr/popup/rn/download/downloadPopup.jsp?from=plwindow&amp;uu=/upload/window/REPORT/LGH-WA16-150.pdf","2등급")</f>
        <v>2등급</v>
      </c>
      <c r="P423" s="5" t="str">
        <f>HYPERLINK("http://www.lghausys.co.kr/popup/rn/download/downloadPopup.jsp?from=plwindow&amp;uu=/upload/window/REPORT/LGH-WA16-150.pdf","15등급")</f>
        <v>15등급</v>
      </c>
      <c r="Q423" s="5" t="str">
        <f>HYPERLINK("http://www.lghausys.co.kr/popup/rn/download/downloadPopup.jsp?from=plwindow&amp;uu=/upload/window/REPORT/LGH-WA16-150.pdf","240등급")</f>
        <v>240등급</v>
      </c>
      <c r="R423" s="5" t="s">
        <v>19</v>
      </c>
      <c r="S423" s="5" t="s">
        <v>19</v>
      </c>
      <c r="T423" s="5" t="s">
        <v>19</v>
      </c>
      <c r="U423" s="5" t="s">
        <v>19</v>
      </c>
      <c r="V423" s="5" t="s">
        <v>19</v>
      </c>
      <c r="W423" s="5" t="s">
        <v>152</v>
      </c>
      <c r="X423" s="5">
        <v>1.387</v>
      </c>
    </row>
    <row r="424" spans="1:24">
      <c r="A424" t="s">
        <v>61</v>
      </c>
      <c r="B424" t="s">
        <v>19</v>
      </c>
      <c r="C424" t="s">
        <v>31</v>
      </c>
      <c r="D424" t="s">
        <v>25</v>
      </c>
      <c r="E424" t="s">
        <v>19</v>
      </c>
      <c r="F424" t="s">
        <v>19</v>
      </c>
      <c r="G424" t="s">
        <v>19</v>
      </c>
      <c r="H424" t="s">
        <v>19</v>
      </c>
      <c r="I424" t="s">
        <v>19</v>
      </c>
      <c r="J424" t="s">
        <v>97</v>
      </c>
      <c r="K424" s="21" t="s">
        <v>607</v>
      </c>
      <c r="L424" s="5" t="s">
        <v>19</v>
      </c>
      <c r="M424" s="5" t="s">
        <v>19</v>
      </c>
      <c r="N424" s="5" t="s">
        <v>19</v>
      </c>
      <c r="O424" s="5" t="str">
        <f>HYPERLINK("http://www.lghausys.co.kr/popup/rn/download/downloadPopup.jsp?from=plwindow&amp;uu=/upload/window/REPORT/LGH-WA16-151.pdf","2등급")</f>
        <v>2등급</v>
      </c>
      <c r="P424" s="5" t="str">
        <f>HYPERLINK("http://www.lghausys.co.kr/popup/rn/download/downloadPopup.jsp?from=plwindow&amp;uu=/upload/window/REPORT/LGH-WA16-151.pdf","15등급")</f>
        <v>15등급</v>
      </c>
      <c r="Q424" s="5" t="str">
        <f>HYPERLINK("http://www.lghausys.co.kr/popup/rn/download/downloadPopup.jsp?from=plwindow&amp;uu=/upload/window/REPORT/LGH-WA16-151.pdf","240등급")</f>
        <v>240등급</v>
      </c>
      <c r="R424" s="5" t="s">
        <v>19</v>
      </c>
      <c r="S424" s="5" t="s">
        <v>19</v>
      </c>
      <c r="T424" s="5" t="s">
        <v>19</v>
      </c>
      <c r="U424" s="5" t="s">
        <v>19</v>
      </c>
      <c r="V424" s="5" t="s">
        <v>19</v>
      </c>
      <c r="W424" s="5" t="s">
        <v>152</v>
      </c>
      <c r="X424" s="5">
        <v>0.80700000000000005</v>
      </c>
    </row>
    <row r="425" spans="1:24">
      <c r="A425" t="s">
        <v>73</v>
      </c>
      <c r="B425" t="s">
        <v>19</v>
      </c>
      <c r="C425" t="s">
        <v>31</v>
      </c>
      <c r="D425" t="s">
        <v>25</v>
      </c>
      <c r="E425" t="s">
        <v>19</v>
      </c>
      <c r="F425" t="s">
        <v>19</v>
      </c>
      <c r="G425" t="s">
        <v>19</v>
      </c>
      <c r="H425" t="s">
        <v>25</v>
      </c>
      <c r="I425" t="s">
        <v>19</v>
      </c>
      <c r="J425" t="s">
        <v>97</v>
      </c>
      <c r="K425" s="21" t="s">
        <v>607</v>
      </c>
      <c r="L425" s="5" t="s">
        <v>19</v>
      </c>
      <c r="M425" s="5" t="s">
        <v>19</v>
      </c>
      <c r="N425" s="5" t="s">
        <v>19</v>
      </c>
      <c r="O425" s="5" t="str">
        <f>HYPERLINK("http://www.lghausys.co.kr/popup/rn/download/downloadPopup.jsp?from=plwindow&amp;uu=/upload/window/REPORT/LGH-WA16-152.pdf","1등급")</f>
        <v>1등급</v>
      </c>
      <c r="P425" s="5" t="str">
        <f>HYPERLINK("http://www.lghausys.co.kr/popup/rn/download/downloadPopup.jsp?from=plwindow&amp;uu=/upload/window/REPORT/LGH-WA16-152.pdf","50등급")</f>
        <v>50등급</v>
      </c>
      <c r="Q425" s="5" t="str">
        <f>HYPERLINK("http://www.lghausys.co.kr/popup/rn/download/downloadPopup.jsp?from=plwindow&amp;uu=/upload/window/REPORT/LGH-WA16-152.pdf","400등급")</f>
        <v>400등급</v>
      </c>
      <c r="R425" s="5" t="s">
        <v>19</v>
      </c>
      <c r="S425" s="5" t="s">
        <v>19</v>
      </c>
      <c r="T425" s="5" t="s">
        <v>19</v>
      </c>
      <c r="U425" s="5" t="s">
        <v>19</v>
      </c>
      <c r="V425" s="5" t="s">
        <v>19</v>
      </c>
      <c r="W425" s="5" t="s">
        <v>152</v>
      </c>
      <c r="X425" s="5">
        <v>1.613</v>
      </c>
    </row>
    <row r="426" spans="1:24">
      <c r="A426" t="s">
        <v>73</v>
      </c>
      <c r="B426" t="s">
        <v>19</v>
      </c>
      <c r="C426" t="s">
        <v>31</v>
      </c>
      <c r="D426" t="s">
        <v>64</v>
      </c>
      <c r="E426" t="s">
        <v>19</v>
      </c>
      <c r="F426" t="s">
        <v>19</v>
      </c>
      <c r="G426" t="s">
        <v>19</v>
      </c>
      <c r="H426" t="s">
        <v>25</v>
      </c>
      <c r="I426" t="s">
        <v>19</v>
      </c>
      <c r="J426" t="s">
        <v>97</v>
      </c>
      <c r="K426" s="21" t="s">
        <v>607</v>
      </c>
      <c r="L426" s="5" t="s">
        <v>19</v>
      </c>
      <c r="M426" s="5" t="s">
        <v>19</v>
      </c>
      <c r="N426" s="5" t="s">
        <v>19</v>
      </c>
      <c r="O426" s="5" t="str">
        <f>HYPERLINK("http://www.lghausys.co.kr/popup/rn/download/downloadPopup.jsp?from=plwindow&amp;uu=/upload/window/REPORT/LGH-WA16-153.pdf","1등급")</f>
        <v>1등급</v>
      </c>
      <c r="P426" s="5" t="str">
        <f>HYPERLINK("http://www.lghausys.co.kr/popup/rn/download/downloadPopup.jsp?from=plwindow&amp;uu=/upload/window/REPORT/LGH-WA16-153.pdf","50등급")</f>
        <v>50등급</v>
      </c>
      <c r="Q426" s="5" t="str">
        <f>HYPERLINK("http://www.lghausys.co.kr/popup/rn/download/downloadPopup.jsp?from=plwindow&amp;uu=/upload/window/REPORT/LGH-WA16-153.pdf","400등급")</f>
        <v>400등급</v>
      </c>
      <c r="R426" s="5" t="s">
        <v>19</v>
      </c>
      <c r="S426" s="5" t="s">
        <v>19</v>
      </c>
      <c r="T426" s="5" t="s">
        <v>19</v>
      </c>
      <c r="U426" s="5" t="s">
        <v>19</v>
      </c>
      <c r="V426" s="5" t="s">
        <v>19</v>
      </c>
      <c r="W426" s="5" t="s">
        <v>152</v>
      </c>
      <c r="X426" s="5">
        <v>1.595</v>
      </c>
    </row>
    <row r="427" spans="1:24">
      <c r="A427" t="s">
        <v>73</v>
      </c>
      <c r="B427" t="s">
        <v>19</v>
      </c>
      <c r="C427" t="s">
        <v>31</v>
      </c>
      <c r="D427" t="s">
        <v>53</v>
      </c>
      <c r="E427" t="s">
        <v>19</v>
      </c>
      <c r="F427" t="s">
        <v>19</v>
      </c>
      <c r="G427" t="s">
        <v>19</v>
      </c>
      <c r="H427" t="s">
        <v>25</v>
      </c>
      <c r="I427" t="s">
        <v>19</v>
      </c>
      <c r="J427" t="s">
        <v>97</v>
      </c>
      <c r="K427" s="21" t="s">
        <v>607</v>
      </c>
      <c r="L427" s="5" t="s">
        <v>19</v>
      </c>
      <c r="M427" s="5" t="s">
        <v>19</v>
      </c>
      <c r="N427" s="5" t="s">
        <v>19</v>
      </c>
      <c r="O427" s="5" t="str">
        <f>HYPERLINK("http://www.lghausys.co.kr/popup/rn/download/downloadPopup.jsp?from=plwindow&amp;uu=/upload/window/REPORT/LGH-WA16-154.pdf","1등급")</f>
        <v>1등급</v>
      </c>
      <c r="P427" s="5" t="str">
        <f>HYPERLINK("http://www.lghausys.co.kr/popup/rn/download/downloadPopup.jsp?from=plwindow&amp;uu=/upload/window/REPORT/LGH-WA16-154.pdf","50등급")</f>
        <v>50등급</v>
      </c>
      <c r="Q427" s="5" t="str">
        <f>HYPERLINK("http://www.lghausys.co.kr/popup/rn/download/downloadPopup.jsp?from=plwindow&amp;uu=/upload/window/REPORT/LGH-WA16-154.pdf","400등급")</f>
        <v>400등급</v>
      </c>
      <c r="R427" s="5" t="s">
        <v>19</v>
      </c>
      <c r="S427" s="5" t="s">
        <v>19</v>
      </c>
      <c r="T427" s="5" t="s">
        <v>19</v>
      </c>
      <c r="U427" s="5" t="s">
        <v>19</v>
      </c>
      <c r="V427" s="5" t="s">
        <v>19</v>
      </c>
      <c r="W427" s="5" t="s">
        <v>152</v>
      </c>
      <c r="X427" s="5">
        <v>1.5820000000000001</v>
      </c>
    </row>
    <row r="428" spans="1:24">
      <c r="A428" t="s">
        <v>144</v>
      </c>
      <c r="B428" t="s">
        <v>19</v>
      </c>
      <c r="C428" t="s">
        <v>31</v>
      </c>
      <c r="D428" t="s">
        <v>25</v>
      </c>
      <c r="E428" t="s">
        <v>19</v>
      </c>
      <c r="F428" t="s">
        <v>19</v>
      </c>
      <c r="G428" t="s">
        <v>19</v>
      </c>
      <c r="H428" t="s">
        <v>25</v>
      </c>
      <c r="I428" t="s">
        <v>19</v>
      </c>
      <c r="J428" t="s">
        <v>74</v>
      </c>
      <c r="K428" s="21" t="s">
        <v>607</v>
      </c>
      <c r="L428" s="5" t="s">
        <v>19</v>
      </c>
      <c r="M428" s="5" t="s">
        <v>19</v>
      </c>
      <c r="N428" s="5" t="s">
        <v>19</v>
      </c>
      <c r="O428" s="5" t="s">
        <v>19</v>
      </c>
      <c r="P428" s="5" t="str">
        <f>HYPERLINK("http://www.lghausys.co.kr/popup/rn/download/downloadPopup.jsp?from=plwindow&amp;uu=/upload/window/REPORT/LGH-WA16-157.pdf","35등급")</f>
        <v>35등급</v>
      </c>
      <c r="Q428" s="5" t="str">
        <f>HYPERLINK("http://www.lghausys.co.kr/popup/rn/download/downloadPopup.jsp?from=plwindow&amp;uu=/upload/window/REPORT/LGH-WA16-157.pdf","400등급")</f>
        <v>400등급</v>
      </c>
      <c r="R428" s="5" t="s">
        <v>19</v>
      </c>
      <c r="S428" s="5" t="s">
        <v>19</v>
      </c>
      <c r="T428" s="5" t="s">
        <v>19</v>
      </c>
      <c r="U428" s="5" t="s">
        <v>19</v>
      </c>
      <c r="V428" s="5" t="s">
        <v>19</v>
      </c>
      <c r="W428" s="5" t="s">
        <v>152</v>
      </c>
      <c r="X428" s="5">
        <v>0.82</v>
      </c>
    </row>
    <row r="429" spans="1:24">
      <c r="A429" t="s">
        <v>19</v>
      </c>
      <c r="B429" t="s">
        <v>80</v>
      </c>
      <c r="C429" t="s">
        <v>31</v>
      </c>
      <c r="D429" t="s">
        <v>25</v>
      </c>
      <c r="E429" t="s">
        <v>19</v>
      </c>
      <c r="F429" t="s">
        <v>19</v>
      </c>
      <c r="G429" t="s">
        <v>19</v>
      </c>
      <c r="H429" t="s">
        <v>25</v>
      </c>
      <c r="I429" t="s">
        <v>19</v>
      </c>
      <c r="J429" t="s">
        <v>74</v>
      </c>
      <c r="K429" s="21" t="s">
        <v>607</v>
      </c>
      <c r="L429" s="5" t="s">
        <v>19</v>
      </c>
      <c r="M429" s="5" t="s">
        <v>19</v>
      </c>
      <c r="N429" s="5" t="s">
        <v>19</v>
      </c>
      <c r="O429" s="5" t="str">
        <f>HYPERLINK("http://www.lghausys.co.kr/popup/rn/download/downloadPopup.jsp?from=plwindow&amp;uu=/upload/window/REPORT/LGH-WA16-179.pdf","1등급")</f>
        <v>1등급</v>
      </c>
      <c r="P429" s="5" t="str">
        <f>HYPERLINK("http://www.lghausys.co.kr/popup/rn/download/downloadPopup.jsp?from=plwindow&amp;uu=/upload/window/REPORT/LGH-WA16-179.pdf","50등급")</f>
        <v>50등급</v>
      </c>
      <c r="Q429" s="5" t="str">
        <f>HYPERLINK("http://www.lghausys.co.kr/popup/rn/download/downloadPopup.jsp?from=plwindow&amp;uu=/upload/window/REPORT/LGH-WA16-179.pdf","400등급")</f>
        <v>400등급</v>
      </c>
      <c r="R429" s="5" t="s">
        <v>19</v>
      </c>
      <c r="S429" s="5" t="s">
        <v>19</v>
      </c>
      <c r="T429" s="5" t="s">
        <v>19</v>
      </c>
      <c r="U429" s="5" t="s">
        <v>19</v>
      </c>
      <c r="V429" s="5" t="s">
        <v>19</v>
      </c>
      <c r="W429" s="5" t="s">
        <v>152</v>
      </c>
      <c r="X429" s="5">
        <v>0.98699999999999999</v>
      </c>
    </row>
    <row r="430" spans="1:24">
      <c r="A430" t="s">
        <v>146</v>
      </c>
      <c r="B430" t="s">
        <v>19</v>
      </c>
      <c r="C430" t="s">
        <v>31</v>
      </c>
      <c r="D430" t="s">
        <v>25</v>
      </c>
      <c r="E430" t="s">
        <v>19</v>
      </c>
      <c r="F430" t="s">
        <v>19</v>
      </c>
      <c r="G430" t="s">
        <v>19</v>
      </c>
      <c r="H430" t="s">
        <v>19</v>
      </c>
      <c r="I430" t="s">
        <v>19</v>
      </c>
      <c r="J430" t="s">
        <v>97</v>
      </c>
      <c r="K430" s="21" t="s">
        <v>607</v>
      </c>
      <c r="L430" s="5" t="s">
        <v>19</v>
      </c>
      <c r="M430" s="5" t="s">
        <v>19</v>
      </c>
      <c r="N430" s="5" t="s">
        <v>19</v>
      </c>
      <c r="O430" s="5" t="str">
        <f>HYPERLINK("http://www.lghausys.co.kr/popup/rn/download/downloadPopup.jsp?from=plwindow&amp;uu=/upload/window/REPORT/LGH-WA16-190.pdf","2등급")</f>
        <v>2등급</v>
      </c>
      <c r="P430" s="5" t="str">
        <f>HYPERLINK("http://www.lghausys.co.kr/popup/rn/download/downloadPopup.jsp?from=plwindow&amp;uu=/upload/window/REPORT/LGH-WA16-190.pdf","15등급")</f>
        <v>15등급</v>
      </c>
      <c r="Q430" s="5" t="str">
        <f>HYPERLINK("http://www.lghausys.co.kr/popup/rn/download/downloadPopup.jsp?from=plwindow&amp;uu=/upload/window/REPORT/LGH-WA16-190.pdf","240등급")</f>
        <v>240등급</v>
      </c>
      <c r="R430" s="5" t="s">
        <v>19</v>
      </c>
      <c r="S430" s="5" t="s">
        <v>19</v>
      </c>
      <c r="T430" s="5" t="s">
        <v>19</v>
      </c>
      <c r="U430" s="5" t="s">
        <v>19</v>
      </c>
      <c r="V430" s="5" t="s">
        <v>19</v>
      </c>
      <c r="W430" s="5" t="s">
        <v>152</v>
      </c>
      <c r="X430" s="5">
        <v>1.302</v>
      </c>
    </row>
    <row r="431" spans="1:24">
      <c r="A431" t="s">
        <v>19</v>
      </c>
      <c r="B431" t="s">
        <v>83</v>
      </c>
      <c r="C431" t="s">
        <v>31</v>
      </c>
      <c r="D431" t="s">
        <v>25</v>
      </c>
      <c r="E431" t="s">
        <v>19</v>
      </c>
      <c r="F431" t="s">
        <v>19</v>
      </c>
      <c r="G431" t="s">
        <v>19</v>
      </c>
      <c r="H431" t="s">
        <v>19</v>
      </c>
      <c r="I431" t="s">
        <v>19</v>
      </c>
      <c r="J431" t="s">
        <v>74</v>
      </c>
      <c r="K431" s="21" t="s">
        <v>607</v>
      </c>
      <c r="L431" s="5" t="s">
        <v>19</v>
      </c>
      <c r="M431" s="5" t="s">
        <v>19</v>
      </c>
      <c r="N431" s="5" t="s">
        <v>19</v>
      </c>
      <c r="O431" s="5" t="str">
        <f>HYPERLINK("http://www.lghausys.co.kr/popup/rn/download/downloadPopup.jsp?from=plwindow&amp;uu=/upload/window/REPORT/LGH-WA16-191.pdf","2등급")</f>
        <v>2등급</v>
      </c>
      <c r="P431" s="5" t="s">
        <v>19</v>
      </c>
      <c r="Q431" s="5" t="s">
        <v>19</v>
      </c>
      <c r="R431" s="5" t="s">
        <v>19</v>
      </c>
      <c r="S431" s="5" t="s">
        <v>19</v>
      </c>
      <c r="T431" s="5" t="s">
        <v>19</v>
      </c>
      <c r="U431" s="5" t="s">
        <v>19</v>
      </c>
      <c r="V431" s="5" t="s">
        <v>19</v>
      </c>
      <c r="W431" s="5" t="s">
        <v>152</v>
      </c>
      <c r="X431" s="5">
        <v>1.0409999999999999</v>
      </c>
    </row>
    <row r="432" spans="1:24">
      <c r="A432" t="s">
        <v>42</v>
      </c>
      <c r="B432" t="s">
        <v>43</v>
      </c>
      <c r="C432" t="s">
        <v>31</v>
      </c>
      <c r="D432" t="s">
        <v>94</v>
      </c>
      <c r="E432" t="s">
        <v>19</v>
      </c>
      <c r="F432" t="s">
        <v>19</v>
      </c>
      <c r="G432" t="s">
        <v>19</v>
      </c>
      <c r="H432" t="s">
        <v>19</v>
      </c>
      <c r="I432" t="s">
        <v>19</v>
      </c>
      <c r="J432" t="s">
        <v>74</v>
      </c>
      <c r="K432" s="21" t="s">
        <v>607</v>
      </c>
      <c r="L432" s="5" t="s">
        <v>19</v>
      </c>
      <c r="M432" s="5" t="s">
        <v>19</v>
      </c>
      <c r="N432" s="5" t="s">
        <v>19</v>
      </c>
      <c r="O432" s="5" t="str">
        <f>HYPERLINK("http://www.lghausys.co.kr/popup/rn/download/downloadPopup.jsp?from=plwindow&amp;uu=/upload/window/REPORT/LGH-WA16-192.pdf","1등급")</f>
        <v>1등급</v>
      </c>
      <c r="P432" s="5" t="s">
        <v>19</v>
      </c>
      <c r="Q432" s="5" t="s">
        <v>19</v>
      </c>
      <c r="R432" s="5" t="s">
        <v>19</v>
      </c>
      <c r="S432" s="5" t="s">
        <v>19</v>
      </c>
      <c r="T432" s="5" t="s">
        <v>19</v>
      </c>
      <c r="U432" s="5" t="s">
        <v>19</v>
      </c>
      <c r="V432" s="5" t="s">
        <v>19</v>
      </c>
      <c r="W432" s="5" t="s">
        <v>152</v>
      </c>
      <c r="X432" s="5">
        <v>1.284</v>
      </c>
    </row>
    <row r="433" spans="1:24">
      <c r="A433" t="s">
        <v>95</v>
      </c>
      <c r="B433" t="s">
        <v>19</v>
      </c>
      <c r="C433" t="s">
        <v>31</v>
      </c>
      <c r="D433" t="s">
        <v>25</v>
      </c>
      <c r="E433" t="s">
        <v>19</v>
      </c>
      <c r="F433" t="s">
        <v>19</v>
      </c>
      <c r="G433" t="s">
        <v>19</v>
      </c>
      <c r="H433" t="s">
        <v>19</v>
      </c>
      <c r="I433" t="s">
        <v>19</v>
      </c>
      <c r="J433" t="s">
        <v>99</v>
      </c>
      <c r="K433" s="21" t="s">
        <v>607</v>
      </c>
      <c r="L433" s="5" t="s">
        <v>19</v>
      </c>
      <c r="M433" s="5" t="s">
        <v>19</v>
      </c>
      <c r="N433" s="5" t="s">
        <v>19</v>
      </c>
      <c r="O433" s="5" t="str">
        <f>HYPERLINK("http://www.lghausys.co.kr/popup/rn/download/downloadPopup.jsp?from=plwindow&amp;uu=/upload/window/REPORT/LGH-WA16-194.pdf","1등급")</f>
        <v>1등급</v>
      </c>
      <c r="P433" s="5" t="s">
        <v>19</v>
      </c>
      <c r="Q433" s="5" t="s">
        <v>19</v>
      </c>
      <c r="R433" s="5" t="s">
        <v>19</v>
      </c>
      <c r="S433" s="5" t="s">
        <v>19</v>
      </c>
      <c r="T433" s="5" t="s">
        <v>19</v>
      </c>
      <c r="U433" s="5" t="s">
        <v>19</v>
      </c>
      <c r="V433" s="5" t="s">
        <v>19</v>
      </c>
      <c r="W433" s="5" t="s">
        <v>152</v>
      </c>
      <c r="X433" s="5">
        <v>0.98199999999999998</v>
      </c>
    </row>
    <row r="434" spans="1:24">
      <c r="A434" t="s">
        <v>19</v>
      </c>
      <c r="B434" t="s">
        <v>83</v>
      </c>
      <c r="C434" t="s">
        <v>31</v>
      </c>
      <c r="D434" t="s">
        <v>89</v>
      </c>
      <c r="E434" t="s">
        <v>19</v>
      </c>
      <c r="F434" t="s">
        <v>19</v>
      </c>
      <c r="G434" t="s">
        <v>19</v>
      </c>
      <c r="H434" t="s">
        <v>19</v>
      </c>
      <c r="I434" t="s">
        <v>19</v>
      </c>
      <c r="J434" t="s">
        <v>97</v>
      </c>
      <c r="K434" s="21" t="s">
        <v>607</v>
      </c>
      <c r="L434" s="5" t="s">
        <v>19</v>
      </c>
      <c r="M434" s="5" t="s">
        <v>19</v>
      </c>
      <c r="N434" s="5" t="s">
        <v>19</v>
      </c>
      <c r="O434" s="5" t="str">
        <f>HYPERLINK("http://www.lghausys.co.kr/popup/rn/download/downloadPopup.jsp?from=plwindow&amp;uu=/upload/window/REPORT/LGH-WA16-195.pdf","2등급")</f>
        <v>2등급</v>
      </c>
      <c r="P434" s="5" t="s">
        <v>19</v>
      </c>
      <c r="Q434" s="5" t="s">
        <v>19</v>
      </c>
      <c r="R434" s="5" t="s">
        <v>19</v>
      </c>
      <c r="S434" s="5" t="s">
        <v>19</v>
      </c>
      <c r="T434" s="5" t="s">
        <v>19</v>
      </c>
      <c r="U434" s="5" t="s">
        <v>19</v>
      </c>
      <c r="V434" s="5" t="s">
        <v>19</v>
      </c>
      <c r="W434" s="5" t="s">
        <v>152</v>
      </c>
      <c r="X434" s="5">
        <v>1.1299999999999999</v>
      </c>
    </row>
    <row r="435" spans="1:24">
      <c r="A435" t="s">
        <v>19</v>
      </c>
      <c r="B435" t="s">
        <v>83</v>
      </c>
      <c r="C435" t="s">
        <v>31</v>
      </c>
      <c r="D435" t="s">
        <v>53</v>
      </c>
      <c r="E435" t="s">
        <v>19</v>
      </c>
      <c r="F435" t="s">
        <v>19</v>
      </c>
      <c r="G435" t="s">
        <v>19</v>
      </c>
      <c r="H435" t="s">
        <v>19</v>
      </c>
      <c r="I435" t="s">
        <v>19</v>
      </c>
      <c r="J435" t="s">
        <v>97</v>
      </c>
      <c r="K435" s="21" t="s">
        <v>607</v>
      </c>
      <c r="L435" s="5" t="s">
        <v>19</v>
      </c>
      <c r="M435" s="5" t="s">
        <v>19</v>
      </c>
      <c r="N435" s="5" t="s">
        <v>19</v>
      </c>
      <c r="O435" s="5" t="str">
        <f>HYPERLINK("http://www.lghausys.co.kr/popup/rn/download/downloadPopup.jsp?from=plwindow&amp;uu=/upload/window/REPORT/LGH-WA16-196.pdf","2등급")</f>
        <v>2등급</v>
      </c>
      <c r="P435" s="5" t="s">
        <v>19</v>
      </c>
      <c r="Q435" s="5" t="s">
        <v>19</v>
      </c>
      <c r="R435" s="5" t="s">
        <v>19</v>
      </c>
      <c r="S435" s="5" t="s">
        <v>19</v>
      </c>
      <c r="T435" s="5" t="s">
        <v>19</v>
      </c>
      <c r="U435" s="5" t="s">
        <v>19</v>
      </c>
      <c r="V435" s="5" t="s">
        <v>19</v>
      </c>
      <c r="W435" s="5" t="s">
        <v>152</v>
      </c>
      <c r="X435" s="5">
        <v>2.6389999999999998</v>
      </c>
    </row>
    <row r="436" spans="1:24">
      <c r="A436" t="s">
        <v>27</v>
      </c>
      <c r="B436" t="s">
        <v>19</v>
      </c>
      <c r="C436" t="s">
        <v>31</v>
      </c>
      <c r="D436" t="s">
        <v>53</v>
      </c>
      <c r="E436" t="s">
        <v>98</v>
      </c>
      <c r="F436" t="s">
        <v>19</v>
      </c>
      <c r="G436" t="s">
        <v>19</v>
      </c>
      <c r="H436" t="s">
        <v>25</v>
      </c>
      <c r="I436" t="s">
        <v>19</v>
      </c>
      <c r="J436" t="s">
        <v>97</v>
      </c>
      <c r="K436" s="21" t="s">
        <v>607</v>
      </c>
      <c r="L436" s="5" t="s">
        <v>19</v>
      </c>
      <c r="M436" s="5" t="s">
        <v>19</v>
      </c>
      <c r="N436" s="5" t="s">
        <v>19</v>
      </c>
      <c r="O436" s="5" t="str">
        <f>HYPERLINK("http://www.lghausys.co.kr/popup/rn/download/downloadPopup.jsp?from=plwindow&amp;uu=/upload/window/REPORT/LGH-WA16-200.pdf","1등급")</f>
        <v>1등급</v>
      </c>
      <c r="P436" s="5" t="s">
        <v>19</v>
      </c>
      <c r="Q436" s="5" t="s">
        <v>19</v>
      </c>
      <c r="R436" s="5" t="s">
        <v>19</v>
      </c>
      <c r="S436" s="5" t="s">
        <v>19</v>
      </c>
      <c r="T436" s="5" t="s">
        <v>19</v>
      </c>
      <c r="U436" s="5" t="s">
        <v>19</v>
      </c>
      <c r="V436" s="5" t="s">
        <v>19</v>
      </c>
      <c r="W436" s="5" t="s">
        <v>152</v>
      </c>
      <c r="X436" s="5">
        <v>1.8660000000000001</v>
      </c>
    </row>
    <row r="437" spans="1:24">
      <c r="A437" t="s">
        <v>27</v>
      </c>
      <c r="B437" t="s">
        <v>19</v>
      </c>
      <c r="C437" t="s">
        <v>31</v>
      </c>
      <c r="D437" t="s">
        <v>28</v>
      </c>
      <c r="E437" t="s">
        <v>96</v>
      </c>
      <c r="F437" t="s">
        <v>19</v>
      </c>
      <c r="G437" t="s">
        <v>19</v>
      </c>
      <c r="H437" t="s">
        <v>25</v>
      </c>
      <c r="I437" t="s">
        <v>19</v>
      </c>
      <c r="J437" t="s">
        <v>97</v>
      </c>
      <c r="K437" s="21" t="s">
        <v>607</v>
      </c>
      <c r="L437" s="5" t="s">
        <v>19</v>
      </c>
      <c r="M437" s="5" t="s">
        <v>19</v>
      </c>
      <c r="N437" s="5" t="s">
        <v>19</v>
      </c>
      <c r="O437" s="5" t="str">
        <f>HYPERLINK("http://www.lghausys.co.kr/popup/rn/download/downloadPopup.jsp?from=plwindow&amp;uu=/upload/window/REPORT/LGH-WA16-201.pdf","1등급")</f>
        <v>1등급</v>
      </c>
      <c r="P437" s="5" t="s">
        <v>19</v>
      </c>
      <c r="Q437" s="5" t="s">
        <v>19</v>
      </c>
      <c r="R437" s="5" t="s">
        <v>19</v>
      </c>
      <c r="S437" s="5" t="s">
        <v>19</v>
      </c>
      <c r="T437" s="5" t="s">
        <v>19</v>
      </c>
      <c r="U437" s="5" t="s">
        <v>19</v>
      </c>
      <c r="V437" s="5" t="s">
        <v>19</v>
      </c>
      <c r="W437" s="5" t="s">
        <v>152</v>
      </c>
      <c r="X437" s="5">
        <v>1.1759999999999999</v>
      </c>
    </row>
    <row r="438" spans="1:24">
      <c r="A438" t="s">
        <v>73</v>
      </c>
      <c r="B438" t="s">
        <v>19</v>
      </c>
      <c r="C438" t="s">
        <v>31</v>
      </c>
      <c r="D438" t="s">
        <v>25</v>
      </c>
      <c r="E438" t="s">
        <v>19</v>
      </c>
      <c r="F438" t="s">
        <v>19</v>
      </c>
      <c r="G438" t="s">
        <v>19</v>
      </c>
      <c r="H438" t="s">
        <v>25</v>
      </c>
      <c r="I438" t="s">
        <v>19</v>
      </c>
      <c r="J438" t="s">
        <v>74</v>
      </c>
      <c r="K438" s="21" t="s">
        <v>607</v>
      </c>
      <c r="L438" s="5" t="s">
        <v>19</v>
      </c>
      <c r="M438" s="5" t="s">
        <v>19</v>
      </c>
      <c r="N438" s="5" t="s">
        <v>19</v>
      </c>
      <c r="O438" s="5" t="str">
        <f>HYPERLINK("http://www.lghausys.co.kr/popup/rn/download/downloadPopup.jsp?from=plwindow&amp;uu=/upload/window/REPORT/LGH-WA16-209.pdf","1등급")</f>
        <v>1등급</v>
      </c>
      <c r="P438" s="5" t="s">
        <v>19</v>
      </c>
      <c r="Q438" s="5" t="s">
        <v>19</v>
      </c>
      <c r="R438" s="5" t="s">
        <v>19</v>
      </c>
      <c r="S438" s="5" t="s">
        <v>19</v>
      </c>
      <c r="T438" s="5" t="s">
        <v>19</v>
      </c>
      <c r="U438" s="5" t="s">
        <v>19</v>
      </c>
      <c r="V438" s="5" t="s">
        <v>19</v>
      </c>
      <c r="W438" s="5" t="s">
        <v>152</v>
      </c>
      <c r="X438" s="5">
        <v>0.85</v>
      </c>
    </row>
    <row r="439" spans="1:24">
      <c r="A439" t="s">
        <v>19</v>
      </c>
      <c r="B439" t="s">
        <v>48</v>
      </c>
      <c r="C439" t="s">
        <v>31</v>
      </c>
      <c r="D439" t="s">
        <v>165</v>
      </c>
      <c r="E439" t="s">
        <v>19</v>
      </c>
      <c r="F439" t="s">
        <v>19</v>
      </c>
      <c r="G439" t="s">
        <v>19</v>
      </c>
      <c r="H439" t="s">
        <v>165</v>
      </c>
      <c r="I439" t="s">
        <v>19</v>
      </c>
      <c r="J439" t="s">
        <v>74</v>
      </c>
      <c r="K439" s="21" t="s">
        <v>607</v>
      </c>
      <c r="L439" s="5" t="s">
        <v>19</v>
      </c>
      <c r="M439" s="5" t="s">
        <v>19</v>
      </c>
      <c r="N439" s="5" t="s">
        <v>19</v>
      </c>
      <c r="O439" s="5" t="str">
        <f>HYPERLINK("http://www.lghausys.co.kr/popup/rn/download/downloadPopup.jsp?from=plwindow&amp;uu=/upload/window/REPORT/LGH-WA16-214.pdf","1등급")</f>
        <v>1등급</v>
      </c>
      <c r="P439" s="5" t="str">
        <f>HYPERLINK("http://www.lghausys.co.kr/popup/rn/download/downloadPopup.jsp?from=plwindow&amp;uu=/upload/window/REPORT/LGH-WA16-214.pdf","35등급")</f>
        <v>35등급</v>
      </c>
      <c r="Q439" s="5" t="str">
        <f>HYPERLINK("http://www.lghausys.co.kr/popup/rn/download/downloadPopup.jsp?from=plwindow&amp;uu=/upload/window/REPORT/LGH-WA16-214.pdf","360등급")</f>
        <v>360등급</v>
      </c>
      <c r="R439" s="5" t="s">
        <v>19</v>
      </c>
      <c r="S439" s="5" t="s">
        <v>19</v>
      </c>
      <c r="T439" s="5" t="s">
        <v>19</v>
      </c>
      <c r="U439" s="5" t="s">
        <v>19</v>
      </c>
      <c r="V439" s="5" t="s">
        <v>19</v>
      </c>
      <c r="W439" s="5" t="s">
        <v>152</v>
      </c>
      <c r="X439" s="5">
        <v>0.92700000000000005</v>
      </c>
    </row>
    <row r="440" spans="1:24">
      <c r="A440" t="s">
        <v>73</v>
      </c>
      <c r="B440" t="s">
        <v>19</v>
      </c>
      <c r="C440" t="s">
        <v>31</v>
      </c>
      <c r="D440" t="s">
        <v>25</v>
      </c>
      <c r="E440" t="s">
        <v>19</v>
      </c>
      <c r="F440" t="s">
        <v>19</v>
      </c>
      <c r="G440" t="s">
        <v>19</v>
      </c>
      <c r="H440" t="s">
        <v>28</v>
      </c>
      <c r="I440" t="s">
        <v>19</v>
      </c>
      <c r="J440" t="s">
        <v>74</v>
      </c>
      <c r="K440" s="21" t="s">
        <v>607</v>
      </c>
      <c r="L440" s="5" t="s">
        <v>19</v>
      </c>
      <c r="M440" s="5" t="s">
        <v>19</v>
      </c>
      <c r="N440" s="5" t="s">
        <v>19</v>
      </c>
      <c r="O440" s="5" t="str">
        <f>HYPERLINK("http://www.lghausys.co.kr/popup/rn/download/downloadPopup.jsp?from=plwindow&amp;uu=/upload/window/REPORT/LGH-WA16-217.pdf","1등급")</f>
        <v>1등급</v>
      </c>
      <c r="P440" s="5" t="str">
        <f>HYPERLINK("http://www.lghausys.co.kr/popup/rn/download/downloadPopup.jsp?from=plwindow&amp;uu=/upload/window/REPORT/LGH-WA16-217.pdf","35등급")</f>
        <v>35등급</v>
      </c>
      <c r="Q440" s="5" t="str">
        <f>HYPERLINK("http://www.lghausys.co.kr/popup/rn/download/downloadPopup.jsp?from=plwindow&amp;uu=/upload/window/REPORT/LGH-WA16-217.pdf","400등급")</f>
        <v>400등급</v>
      </c>
      <c r="R440" s="5" t="s">
        <v>19</v>
      </c>
      <c r="S440" s="5" t="s">
        <v>19</v>
      </c>
      <c r="T440" s="5" t="s">
        <v>19</v>
      </c>
      <c r="U440" s="5" t="s">
        <v>19</v>
      </c>
      <c r="V440" s="5" t="s">
        <v>19</v>
      </c>
      <c r="W440" s="5" t="s">
        <v>152</v>
      </c>
      <c r="X440">
        <v>0.88900000000000001</v>
      </c>
    </row>
    <row r="441" spans="1:24">
      <c r="A441" t="s">
        <v>73</v>
      </c>
      <c r="B441" t="s">
        <v>19</v>
      </c>
      <c r="C441" t="s">
        <v>31</v>
      </c>
      <c r="D441" t="s">
        <v>28</v>
      </c>
      <c r="E441" t="s">
        <v>19</v>
      </c>
      <c r="F441" t="s">
        <v>19</v>
      </c>
      <c r="G441" t="s">
        <v>19</v>
      </c>
      <c r="H441" t="s">
        <v>25</v>
      </c>
      <c r="I441" t="s">
        <v>19</v>
      </c>
      <c r="J441" t="s">
        <v>74</v>
      </c>
      <c r="K441" s="21" t="s">
        <v>607</v>
      </c>
      <c r="L441" s="5" t="s">
        <v>19</v>
      </c>
      <c r="M441" s="5" t="s">
        <v>19</v>
      </c>
      <c r="N441" s="5" t="s">
        <v>19</v>
      </c>
      <c r="O441" s="5" t="str">
        <f>HYPERLINK("http://www.lghausys.co.kr/popup/rn/download/downloadPopup.jsp?from=plwindow&amp;uu=/upload/window/REPORT/LGH-WA16-218.pdf","1등급")</f>
        <v>1등급</v>
      </c>
      <c r="P441" s="5" t="str">
        <f>HYPERLINK("http://www.lghausys.co.kr/popup/rn/download/downloadPopup.jsp?from=plwindow&amp;uu=/upload/window/REPORT/LGH-WA16-218.pdf","35등급")</f>
        <v>35등급</v>
      </c>
      <c r="Q441" s="5" t="str">
        <f>HYPERLINK("http://www.lghausys.co.kr/popup/rn/download/downloadPopup.jsp?from=plwindow&amp;uu=/upload/window/REPORT/LGH-WA16-218.pdf","400등급")</f>
        <v>400등급</v>
      </c>
      <c r="R441" s="5" t="s">
        <v>19</v>
      </c>
      <c r="S441" s="5" t="s">
        <v>19</v>
      </c>
      <c r="T441" s="5" t="s">
        <v>19</v>
      </c>
      <c r="U441" s="5" t="s">
        <v>19</v>
      </c>
      <c r="V441" s="5" t="s">
        <v>19</v>
      </c>
      <c r="W441" s="5" t="s">
        <v>152</v>
      </c>
      <c r="X441" s="17">
        <v>0.82199999999999995</v>
      </c>
    </row>
    <row r="442" spans="1:24">
      <c r="A442" t="s">
        <v>42</v>
      </c>
      <c r="B442" t="s">
        <v>43</v>
      </c>
      <c r="C442" t="s">
        <v>31</v>
      </c>
      <c r="D442" t="s">
        <v>89</v>
      </c>
      <c r="E442" t="s">
        <v>19</v>
      </c>
      <c r="F442" t="s">
        <v>19</v>
      </c>
      <c r="G442" t="s">
        <v>19</v>
      </c>
      <c r="H442" t="s">
        <v>19</v>
      </c>
      <c r="I442" t="s">
        <v>19</v>
      </c>
      <c r="J442" t="s">
        <v>99</v>
      </c>
      <c r="K442" s="21" t="s">
        <v>607</v>
      </c>
      <c r="L442" s="5" t="s">
        <v>19</v>
      </c>
      <c r="M442" s="5" t="s">
        <v>19</v>
      </c>
      <c r="N442" s="5" t="s">
        <v>19</v>
      </c>
      <c r="O442" s="5" t="str">
        <f>HYPERLINK("http://www.lghausys.co.kr/popup/rn/download/downloadPopup.jsp?from=plwindow&amp;uu=/upload/window/REPORT/LGH-WA16-234.pdf","1등급")</f>
        <v>1등급</v>
      </c>
      <c r="P442" s="5" t="s">
        <v>19</v>
      </c>
      <c r="Q442" s="5" t="s">
        <v>19</v>
      </c>
      <c r="R442" s="5" t="s">
        <v>19</v>
      </c>
      <c r="S442" s="5" t="s">
        <v>19</v>
      </c>
      <c r="T442" s="5" t="s">
        <v>19</v>
      </c>
      <c r="U442" s="5" t="s">
        <v>19</v>
      </c>
      <c r="V442" s="5" t="s">
        <v>19</v>
      </c>
      <c r="W442" s="5" t="s">
        <v>152</v>
      </c>
      <c r="X442" s="17">
        <v>0.83399999999999996</v>
      </c>
    </row>
    <row r="443" spans="1:24">
      <c r="A443" t="s">
        <v>19</v>
      </c>
      <c r="B443" t="s">
        <v>48</v>
      </c>
      <c r="C443" t="s">
        <v>31</v>
      </c>
      <c r="D443" t="s">
        <v>28</v>
      </c>
      <c r="E443" t="s">
        <v>19</v>
      </c>
      <c r="F443" t="s">
        <v>19</v>
      </c>
      <c r="G443" t="s">
        <v>19</v>
      </c>
      <c r="H443" t="s">
        <v>25</v>
      </c>
      <c r="I443" t="s">
        <v>19</v>
      </c>
      <c r="J443" t="s">
        <v>99</v>
      </c>
      <c r="K443" s="21" t="s">
        <v>607</v>
      </c>
      <c r="L443" s="5" t="s">
        <v>19</v>
      </c>
      <c r="M443" s="5" t="s">
        <v>19</v>
      </c>
      <c r="N443" s="5" t="s">
        <v>19</v>
      </c>
      <c r="O443" s="5" t="str">
        <f>HYPERLINK("http://www.lghausys.co.kr/popup/rn/download/downloadPopup.jsp?from=plwindow&amp;uu=/upload/window/REPORT/LGH-WA16-236.pdf","1등급")</f>
        <v>1등급</v>
      </c>
      <c r="P443" s="5" t="s">
        <v>19</v>
      </c>
      <c r="Q443" s="5" t="s">
        <v>19</v>
      </c>
      <c r="R443" s="5" t="s">
        <v>19</v>
      </c>
      <c r="S443" s="5" t="s">
        <v>19</v>
      </c>
      <c r="T443" s="5" t="s">
        <v>19</v>
      </c>
      <c r="U443" s="5" t="s">
        <v>19</v>
      </c>
      <c r="V443" s="5" t="s">
        <v>19</v>
      </c>
      <c r="W443" s="5" t="s">
        <v>152</v>
      </c>
      <c r="X443" s="17">
        <v>0.88700000000000001</v>
      </c>
    </row>
    <row r="444" spans="1:24">
      <c r="A444" t="s">
        <v>44</v>
      </c>
      <c r="B444" t="s">
        <v>19</v>
      </c>
      <c r="C444" t="s">
        <v>31</v>
      </c>
      <c r="D444" t="s">
        <v>32</v>
      </c>
      <c r="E444" t="s">
        <v>19</v>
      </c>
      <c r="F444" t="s">
        <v>19</v>
      </c>
      <c r="G444" t="s">
        <v>19</v>
      </c>
      <c r="H444" t="s">
        <v>19</v>
      </c>
      <c r="I444" t="s">
        <v>19</v>
      </c>
      <c r="J444" t="s">
        <v>74</v>
      </c>
      <c r="K444" s="21" t="s">
        <v>607</v>
      </c>
      <c r="L444" s="5" t="s">
        <v>19</v>
      </c>
      <c r="M444" s="5" t="s">
        <v>19</v>
      </c>
      <c r="N444" s="5" t="s">
        <v>19</v>
      </c>
      <c r="O444" s="5" t="str">
        <f>HYPERLINK("http://www.lghausys.co.kr/popup/rn/download/downloadPopup.jsp?from=plwindow&amp;uu=/upload/window/REPORT/LGH-WA16-248.pdf","1등급")</f>
        <v>1등급</v>
      </c>
      <c r="P444" s="5" t="str">
        <f>HYPERLINK("http://www.lghausys.co.kr/popup/rn/download/downloadPopup.jsp?from=plwindow&amp;uu=/upload/window/REPORT/LGH-WA16-248.pdf","50등급")</f>
        <v>50등급</v>
      </c>
      <c r="Q444" s="5" t="str">
        <f>HYPERLINK("http://www.lghausys.co.kr/popup/rn/download/downloadPopup.jsp?from=plwindow&amp;uu=/upload/window/REPORT/LGH-WA16-248.pdf","300등급")</f>
        <v>300등급</v>
      </c>
      <c r="R444" s="5" t="s">
        <v>19</v>
      </c>
      <c r="S444" s="5" t="s">
        <v>19</v>
      </c>
      <c r="T444" s="5" t="s">
        <v>19</v>
      </c>
      <c r="U444" s="5" t="s">
        <v>19</v>
      </c>
      <c r="V444" s="5" t="s">
        <v>19</v>
      </c>
      <c r="W444" s="5" t="s">
        <v>152</v>
      </c>
      <c r="X444" s="17">
        <v>0.82099999999999995</v>
      </c>
    </row>
    <row r="445" spans="1:24">
      <c r="A445" t="s">
        <v>100</v>
      </c>
      <c r="B445" t="s">
        <v>19</v>
      </c>
      <c r="C445" t="s">
        <v>31</v>
      </c>
      <c r="D445" t="s">
        <v>68</v>
      </c>
      <c r="E445" t="s">
        <v>19</v>
      </c>
      <c r="F445" t="s">
        <v>19</v>
      </c>
      <c r="G445" t="s">
        <v>19</v>
      </c>
      <c r="H445" t="s">
        <v>68</v>
      </c>
      <c r="I445" t="s">
        <v>19</v>
      </c>
      <c r="J445" t="s">
        <v>74</v>
      </c>
      <c r="K445" s="21" t="s">
        <v>607</v>
      </c>
      <c r="L445" s="5" t="s">
        <v>19</v>
      </c>
      <c r="M445" s="5" t="s">
        <v>19</v>
      </c>
      <c r="N445" s="5" t="s">
        <v>19</v>
      </c>
      <c r="O445" s="5" t="str">
        <f>HYPERLINK("http://www.lghausys.co.kr/popup/rn/download/downloadPopup.jsp?from=plwindow&amp;uu=/upload/window/REPORT/LGH-WA16-251.pdf","1등급")</f>
        <v>1등급</v>
      </c>
      <c r="P445" s="5" t="s">
        <v>19</v>
      </c>
      <c r="Q445" s="5" t="s">
        <v>19</v>
      </c>
      <c r="R445" s="5" t="s">
        <v>19</v>
      </c>
      <c r="S445" s="5" t="s">
        <v>19</v>
      </c>
      <c r="T445" s="5" t="s">
        <v>19</v>
      </c>
      <c r="U445" s="5" t="s">
        <v>19</v>
      </c>
      <c r="V445" s="5" t="s">
        <v>19</v>
      </c>
      <c r="W445" s="5" t="s">
        <v>152</v>
      </c>
      <c r="X445" s="17">
        <v>1.238</v>
      </c>
    </row>
    <row r="446" spans="1:24">
      <c r="A446" t="s">
        <v>19</v>
      </c>
      <c r="B446" t="s">
        <v>124</v>
      </c>
      <c r="C446" t="s">
        <v>31</v>
      </c>
      <c r="D446" t="s">
        <v>28</v>
      </c>
      <c r="E446" t="s">
        <v>19</v>
      </c>
      <c r="F446" t="s">
        <v>19</v>
      </c>
      <c r="G446" t="s">
        <v>19</v>
      </c>
      <c r="H446" t="s">
        <v>28</v>
      </c>
      <c r="I446" t="s">
        <v>19</v>
      </c>
      <c r="J446" t="s">
        <v>74</v>
      </c>
      <c r="K446" s="21" t="s">
        <v>607</v>
      </c>
      <c r="L446" s="5" t="s">
        <v>19</v>
      </c>
      <c r="M446" s="5" t="s">
        <v>19</v>
      </c>
      <c r="N446" s="5" t="s">
        <v>19</v>
      </c>
      <c r="O446" s="5" t="str">
        <f>HYPERLINK("http://www.lghausys.co.kr/popup/rn/download/downloadPopup.jsp?from=plwindow&amp;uu=/upload/window/REPORT/LGH-WA16-252.pdf","1등급")</f>
        <v>1등급</v>
      </c>
      <c r="P446" s="5" t="str">
        <f>HYPERLINK("http://www.lghausys.co.kr/popup/rn/download/downloadPopup.jsp?from=plwindow&amp;uu=/upload/window/REPORT/LGH-WA16-252.pdf","50등급")</f>
        <v>50등급</v>
      </c>
      <c r="Q446" s="5" t="s">
        <v>19</v>
      </c>
      <c r="R446" s="5" t="s">
        <v>19</v>
      </c>
      <c r="S446" s="5" t="s">
        <v>19</v>
      </c>
      <c r="T446" s="5" t="s">
        <v>19</v>
      </c>
      <c r="U446" s="5" t="s">
        <v>19</v>
      </c>
      <c r="V446" s="5" t="s">
        <v>19</v>
      </c>
      <c r="W446" s="5" t="s">
        <v>152</v>
      </c>
      <c r="X446"/>
    </row>
    <row r="447" spans="1:24">
      <c r="A447" t="s">
        <v>19</v>
      </c>
      <c r="B447" t="s">
        <v>83</v>
      </c>
      <c r="C447" t="s">
        <v>31</v>
      </c>
      <c r="D447" t="s">
        <v>28</v>
      </c>
      <c r="E447" t="s">
        <v>19</v>
      </c>
      <c r="F447" t="s">
        <v>19</v>
      </c>
      <c r="G447" t="s">
        <v>19</v>
      </c>
      <c r="H447" t="s">
        <v>19</v>
      </c>
      <c r="I447" t="s">
        <v>19</v>
      </c>
      <c r="J447" t="s">
        <v>74</v>
      </c>
      <c r="K447" s="21" t="s">
        <v>607</v>
      </c>
      <c r="L447" s="5" t="s">
        <v>19</v>
      </c>
      <c r="M447" s="5" t="s">
        <v>19</v>
      </c>
      <c r="N447" s="5" t="s">
        <v>19</v>
      </c>
      <c r="O447" s="5" t="str">
        <f>HYPERLINK("http://www.lghausys.co.kr/popup/rn/download/downloadPopup.jsp?from=plwindow&amp;uu=/upload/window/REPORT/LGH-WA16-253.pdf","2등급")</f>
        <v>2등급</v>
      </c>
      <c r="P447" s="5" t="s">
        <v>19</v>
      </c>
      <c r="Q447" s="5" t="s">
        <v>19</v>
      </c>
      <c r="R447" s="5" t="s">
        <v>19</v>
      </c>
      <c r="S447" s="5" t="s">
        <v>19</v>
      </c>
      <c r="T447" s="5" t="s">
        <v>19</v>
      </c>
      <c r="U447" s="5" t="s">
        <v>19</v>
      </c>
      <c r="V447" s="5" t="s">
        <v>19</v>
      </c>
      <c r="W447" s="5" t="s">
        <v>152</v>
      </c>
      <c r="X447"/>
    </row>
    <row r="448" spans="1:24">
      <c r="A448" t="s">
        <v>42</v>
      </c>
      <c r="B448" t="s">
        <v>43</v>
      </c>
      <c r="C448" t="s">
        <v>31</v>
      </c>
      <c r="D448" t="s">
        <v>21</v>
      </c>
      <c r="E448" t="s">
        <v>19</v>
      </c>
      <c r="F448" t="s">
        <v>19</v>
      </c>
      <c r="G448" t="s">
        <v>19</v>
      </c>
      <c r="H448" t="s">
        <v>19</v>
      </c>
      <c r="I448" t="s">
        <v>19</v>
      </c>
      <c r="J448" t="s">
        <v>74</v>
      </c>
      <c r="K448" s="21" t="s">
        <v>607</v>
      </c>
      <c r="L448" s="5" t="s">
        <v>19</v>
      </c>
      <c r="M448" s="5" t="s">
        <v>19</v>
      </c>
      <c r="N448" s="5" t="s">
        <v>19</v>
      </c>
      <c r="O448" s="5" t="str">
        <f>HYPERLINK("http://www.lghausys.co.kr/popup/rn/download/downloadPopup.jsp?from=plwindow&amp;uu=/upload/window/REPORT/LGH-WA16-254.pdf","1등급")</f>
        <v>1등급</v>
      </c>
      <c r="P448" s="5" t="s">
        <v>19</v>
      </c>
      <c r="Q448" s="5" t="s">
        <v>19</v>
      </c>
      <c r="R448" s="5" t="s">
        <v>19</v>
      </c>
      <c r="S448" s="5" t="s">
        <v>19</v>
      </c>
      <c r="T448" s="5" t="s">
        <v>19</v>
      </c>
      <c r="U448" s="5" t="s">
        <v>19</v>
      </c>
      <c r="V448" s="5" t="s">
        <v>19</v>
      </c>
      <c r="W448" s="5" t="s">
        <v>152</v>
      </c>
      <c r="X448"/>
    </row>
    <row r="449" spans="1:24">
      <c r="A449" t="s">
        <v>72</v>
      </c>
      <c r="B449" t="s">
        <v>19</v>
      </c>
      <c r="C449" t="s">
        <v>31</v>
      </c>
      <c r="D449" t="s">
        <v>166</v>
      </c>
      <c r="E449" t="s">
        <v>19</v>
      </c>
      <c r="F449" t="s">
        <v>19</v>
      </c>
      <c r="G449" t="s">
        <v>19</v>
      </c>
      <c r="H449" t="s">
        <v>19</v>
      </c>
      <c r="I449" t="s">
        <v>19</v>
      </c>
      <c r="J449" t="s">
        <v>97</v>
      </c>
      <c r="K449" s="21" t="s">
        <v>607</v>
      </c>
      <c r="L449" s="5" t="s">
        <v>19</v>
      </c>
      <c r="M449" s="5" t="s">
        <v>19</v>
      </c>
      <c r="N449" s="5" t="s">
        <v>19</v>
      </c>
      <c r="O449" s="5" t="str">
        <f>HYPERLINK("http://www.lghausys.co.kr/popup/rn/download/downloadPopup.jsp?from=plwindow&amp;uu=/upload/window/REPORT/LGH-WA16-255.pdf","2등급")</f>
        <v>2등급</v>
      </c>
      <c r="P449" s="5" t="s">
        <v>19</v>
      </c>
      <c r="Q449" s="5" t="s">
        <v>19</v>
      </c>
      <c r="R449" s="5" t="s">
        <v>19</v>
      </c>
      <c r="S449" s="5" t="s">
        <v>19</v>
      </c>
      <c r="T449" s="5" t="s">
        <v>19</v>
      </c>
      <c r="U449" s="5" t="s">
        <v>19</v>
      </c>
      <c r="V449" s="5" t="s">
        <v>19</v>
      </c>
      <c r="W449" s="5" t="s">
        <v>152</v>
      </c>
      <c r="X449"/>
    </row>
    <row r="450" spans="1:24">
      <c r="A450" t="s">
        <v>42</v>
      </c>
      <c r="B450" t="s">
        <v>43</v>
      </c>
      <c r="C450" t="s">
        <v>31</v>
      </c>
      <c r="D450" t="s">
        <v>21</v>
      </c>
      <c r="E450" t="s">
        <v>19</v>
      </c>
      <c r="F450" t="s">
        <v>19</v>
      </c>
      <c r="G450" t="s">
        <v>19</v>
      </c>
      <c r="H450" t="s">
        <v>19</v>
      </c>
      <c r="I450" t="s">
        <v>19</v>
      </c>
      <c r="J450" t="s">
        <v>167</v>
      </c>
      <c r="K450" s="21" t="s">
        <v>607</v>
      </c>
      <c r="L450" s="5" t="s">
        <v>19</v>
      </c>
      <c r="M450" s="5" t="s">
        <v>19</v>
      </c>
      <c r="N450" s="5" t="s">
        <v>19</v>
      </c>
      <c r="O450" s="5" t="str">
        <f>HYPERLINK("http://www.lghausys.co.kr/popup/rn/download/downloadPopup.jsp?from=plwindow&amp;uu=/upload/window/REPORT/LGH-WA16-259.pdf","1등급")</f>
        <v>1등급</v>
      </c>
      <c r="P450" s="5" t="s">
        <v>19</v>
      </c>
      <c r="Q450" s="5" t="s">
        <v>19</v>
      </c>
      <c r="R450" s="5" t="s">
        <v>19</v>
      </c>
      <c r="S450" s="5" t="s">
        <v>19</v>
      </c>
      <c r="T450" s="5" t="s">
        <v>19</v>
      </c>
      <c r="U450" s="5" t="s">
        <v>19</v>
      </c>
      <c r="V450" s="5" t="s">
        <v>19</v>
      </c>
      <c r="W450" s="5" t="s">
        <v>152</v>
      </c>
      <c r="X450"/>
    </row>
    <row r="451" spans="1:24">
      <c r="A451" t="s">
        <v>42</v>
      </c>
      <c r="B451" t="s">
        <v>43</v>
      </c>
      <c r="C451" t="s">
        <v>31</v>
      </c>
      <c r="D451" t="s">
        <v>68</v>
      </c>
      <c r="E451" t="s">
        <v>19</v>
      </c>
      <c r="F451" t="s">
        <v>19</v>
      </c>
      <c r="G451" t="s">
        <v>19</v>
      </c>
      <c r="H451" t="s">
        <v>19</v>
      </c>
      <c r="I451" t="s">
        <v>19</v>
      </c>
      <c r="J451" t="s">
        <v>74</v>
      </c>
      <c r="K451" s="21" t="s">
        <v>607</v>
      </c>
      <c r="L451" s="5" t="s">
        <v>19</v>
      </c>
      <c r="M451" s="5" t="s">
        <v>19</v>
      </c>
      <c r="N451" s="5" t="s">
        <v>19</v>
      </c>
      <c r="O451" s="5" t="str">
        <f>HYPERLINK("http://www.lghausys.co.kr/popup/rn/download/downloadPopup.jsp?from=plwindow&amp;uu=/upload/window/REPORT/LGH-WA16-260.pdf","1등급")</f>
        <v>1등급</v>
      </c>
      <c r="P451" s="5" t="s">
        <v>19</v>
      </c>
      <c r="Q451" s="5" t="s">
        <v>19</v>
      </c>
      <c r="R451" s="5" t="s">
        <v>19</v>
      </c>
      <c r="S451" s="5" t="s">
        <v>19</v>
      </c>
      <c r="T451" s="5" t="s">
        <v>19</v>
      </c>
      <c r="U451" s="5" t="s">
        <v>19</v>
      </c>
      <c r="V451" s="5" t="s">
        <v>19</v>
      </c>
      <c r="W451" s="5" t="s">
        <v>152</v>
      </c>
      <c r="X451"/>
    </row>
    <row r="452" spans="1:24">
      <c r="A452" t="s">
        <v>19</v>
      </c>
      <c r="B452" t="s">
        <v>138</v>
      </c>
      <c r="C452" t="s">
        <v>31</v>
      </c>
      <c r="D452" t="s">
        <v>25</v>
      </c>
      <c r="E452" t="s">
        <v>19</v>
      </c>
      <c r="F452" t="s">
        <v>19</v>
      </c>
      <c r="G452" t="s">
        <v>19</v>
      </c>
      <c r="H452" t="s">
        <v>25</v>
      </c>
      <c r="I452" t="s">
        <v>19</v>
      </c>
      <c r="J452" t="s">
        <v>74</v>
      </c>
      <c r="K452" s="21" t="s">
        <v>607</v>
      </c>
      <c r="L452" s="5" t="s">
        <v>19</v>
      </c>
      <c r="M452" s="5" t="s">
        <v>19</v>
      </c>
      <c r="N452" s="5" t="s">
        <v>19</v>
      </c>
      <c r="O452" s="5" t="s">
        <v>19</v>
      </c>
      <c r="P452" s="5" t="str">
        <f>HYPERLINK("http://www.lghausys.co.kr/popup/rn/download/downloadPopup.jsp?from=plwindow&amp;uu=/upload/window/REPORT/LGH-WA16-261.pdf","35등급")</f>
        <v>35등급</v>
      </c>
      <c r="Q452" s="5" t="str">
        <f>HYPERLINK("http://www.lghausys.co.kr/popup/rn/download/downloadPopup.jsp?from=plwindow&amp;uu=/upload/window/REPORT/LGH-WA16-261.pdf","400등급")</f>
        <v>400등급</v>
      </c>
      <c r="R452" s="5" t="s">
        <v>19</v>
      </c>
      <c r="S452" s="5" t="s">
        <v>19</v>
      </c>
      <c r="T452" s="5" t="s">
        <v>19</v>
      </c>
      <c r="U452" s="5" t="s">
        <v>19</v>
      </c>
      <c r="V452" s="5" t="s">
        <v>19</v>
      </c>
      <c r="W452" s="5" t="s">
        <v>152</v>
      </c>
      <c r="X452"/>
    </row>
    <row r="453" spans="1:24">
      <c r="A453" t="s">
        <v>19</v>
      </c>
      <c r="B453" t="s">
        <v>149</v>
      </c>
      <c r="C453" t="s">
        <v>31</v>
      </c>
      <c r="D453" t="s">
        <v>25</v>
      </c>
      <c r="E453" t="s">
        <v>19</v>
      </c>
      <c r="F453" t="s">
        <v>19</v>
      </c>
      <c r="G453" t="s">
        <v>19</v>
      </c>
      <c r="H453" t="s">
        <v>25</v>
      </c>
      <c r="I453" t="s">
        <v>19</v>
      </c>
      <c r="J453" t="s">
        <v>74</v>
      </c>
      <c r="K453" s="21" t="s">
        <v>607</v>
      </c>
      <c r="L453" s="5" t="s">
        <v>19</v>
      </c>
      <c r="M453" s="5" t="s">
        <v>19</v>
      </c>
      <c r="N453" s="5" t="s">
        <v>19</v>
      </c>
      <c r="O453" s="5" t="s">
        <v>19</v>
      </c>
      <c r="P453" s="5" t="str">
        <f>HYPERLINK("http://www.lghausys.co.kr/popup/rn/download/downloadPopup.jsp?from=plwindow&amp;uu=/upload/window/REPORT/LGH-WA16-262.pdf","35등급")</f>
        <v>35등급</v>
      </c>
      <c r="Q453" s="5" t="str">
        <f>HYPERLINK("http://www.lghausys.co.kr/popup/rn/download/downloadPopup.jsp?from=plwindow&amp;uu=/upload/window/REPORT/LGH-WA16-262.pdf","400등급")</f>
        <v>400등급</v>
      </c>
      <c r="R453" s="5" t="s">
        <v>19</v>
      </c>
      <c r="S453" s="5" t="s">
        <v>19</v>
      </c>
      <c r="T453" s="5" t="s">
        <v>19</v>
      </c>
      <c r="U453" s="5" t="s">
        <v>19</v>
      </c>
      <c r="V453" s="5" t="s">
        <v>19</v>
      </c>
      <c r="W453" s="5" t="s">
        <v>152</v>
      </c>
      <c r="X453"/>
    </row>
    <row r="454" spans="1:24">
      <c r="A454" t="s">
        <v>19</v>
      </c>
      <c r="B454" t="s">
        <v>142</v>
      </c>
      <c r="C454" t="s">
        <v>31</v>
      </c>
      <c r="D454" t="s">
        <v>25</v>
      </c>
      <c r="E454" t="s">
        <v>19</v>
      </c>
      <c r="F454" t="s">
        <v>19</v>
      </c>
      <c r="G454" t="s">
        <v>19</v>
      </c>
      <c r="H454" t="s">
        <v>19</v>
      </c>
      <c r="I454" t="s">
        <v>19</v>
      </c>
      <c r="J454" t="s">
        <v>74</v>
      </c>
      <c r="K454" s="21" t="s">
        <v>607</v>
      </c>
      <c r="L454" s="5" t="s">
        <v>19</v>
      </c>
      <c r="M454" s="5" t="s">
        <v>19</v>
      </c>
      <c r="N454" s="5" t="s">
        <v>19</v>
      </c>
      <c r="O454" s="5" t="s">
        <v>19</v>
      </c>
      <c r="P454" s="5" t="str">
        <f>HYPERLINK("http://www.lghausys.co.kr/popup/rn/download/downloadPopup.jsp?from=plwindow&amp;uu=/upload/window/REPORT/LGH-WA16-263.pdf","15등급")</f>
        <v>15등급</v>
      </c>
      <c r="Q454" s="5" t="str">
        <f>HYPERLINK("http://www.lghausys.co.kr/popup/rn/download/downloadPopup.jsp?from=plwindow&amp;uu=/upload/window/REPORT/LGH-WA16-263.pdf","240등급")</f>
        <v>240등급</v>
      </c>
      <c r="R454" s="5" t="s">
        <v>19</v>
      </c>
      <c r="S454" s="5" t="s">
        <v>19</v>
      </c>
      <c r="T454" s="5" t="s">
        <v>19</v>
      </c>
      <c r="U454" s="5" t="s">
        <v>19</v>
      </c>
      <c r="V454" s="5" t="s">
        <v>19</v>
      </c>
      <c r="W454" s="5" t="s">
        <v>152</v>
      </c>
      <c r="X454"/>
    </row>
    <row r="455" spans="1:24">
      <c r="A455" t="s">
        <v>73</v>
      </c>
      <c r="B455" t="s">
        <v>19</v>
      </c>
      <c r="C455" t="s">
        <v>31</v>
      </c>
      <c r="D455" t="s">
        <v>28</v>
      </c>
      <c r="E455" t="s">
        <v>19</v>
      </c>
      <c r="F455" t="s">
        <v>19</v>
      </c>
      <c r="G455" t="s">
        <v>19</v>
      </c>
      <c r="H455" t="s">
        <v>25</v>
      </c>
      <c r="I455" t="s">
        <v>19</v>
      </c>
      <c r="J455" t="s">
        <v>99</v>
      </c>
      <c r="K455" s="21" t="s">
        <v>607</v>
      </c>
      <c r="L455" s="5" t="s">
        <v>19</v>
      </c>
      <c r="M455" s="5" t="s">
        <v>19</v>
      </c>
      <c r="N455" s="5" t="s">
        <v>19</v>
      </c>
      <c r="O455" s="5" t="str">
        <f>HYPERLINK("http://www.lghausys.co.kr/popup/rn/download/downloadPopup.jsp?from=plwindow&amp;uu=/upload/window/REPORT/LGH-WA17-003.pdf","1등급")</f>
        <v>1등급</v>
      </c>
      <c r="P455" s="5" t="str">
        <f>HYPERLINK("http://www.lghausys.co.kr/popup/rn/download/downloadPopup.jsp?from=plwindow&amp;uu=/upload/window/REPORT/LGH-WA17-003.pdf","50등급")</f>
        <v>50등급</v>
      </c>
      <c r="Q455" s="5" t="str">
        <f>HYPERLINK("http://www.lghausys.co.kr/popup/rn/download/downloadPopup.jsp?from=plwindow&amp;uu=/upload/window/REPORT/LGH-WA17-003.pdf","360등급")</f>
        <v>360등급</v>
      </c>
      <c r="R455" s="5" t="s">
        <v>19</v>
      </c>
      <c r="S455" s="5" t="s">
        <v>19</v>
      </c>
      <c r="T455" s="5" t="s">
        <v>19</v>
      </c>
      <c r="U455" s="5" t="s">
        <v>19</v>
      </c>
      <c r="V455" s="5" t="s">
        <v>19</v>
      </c>
      <c r="W455" s="5" t="s">
        <v>152</v>
      </c>
      <c r="X455"/>
    </row>
    <row r="456" spans="1:24">
      <c r="A456" t="s">
        <v>135</v>
      </c>
      <c r="B456" t="s">
        <v>19</v>
      </c>
      <c r="C456" t="s">
        <v>31</v>
      </c>
      <c r="D456" t="s">
        <v>25</v>
      </c>
      <c r="E456" t="s">
        <v>33</v>
      </c>
      <c r="F456" t="s">
        <v>19</v>
      </c>
      <c r="G456" t="s">
        <v>19</v>
      </c>
      <c r="H456" t="s">
        <v>28</v>
      </c>
      <c r="I456" t="s">
        <v>19</v>
      </c>
      <c r="J456" t="s">
        <v>74</v>
      </c>
      <c r="K456" s="21" t="s">
        <v>607</v>
      </c>
      <c r="L456" s="5" t="s">
        <v>19</v>
      </c>
      <c r="M456" s="5" t="s">
        <v>19</v>
      </c>
      <c r="N456" s="5" t="s">
        <v>19</v>
      </c>
      <c r="O456" s="5" t="str">
        <f>HYPERLINK("http://www.lghausys.co.kr/popup/rn/download/downloadPopup.jsp?from=plwindow&amp;uu=/upload/window/REPORT/LGH-WA17-004.pdf","1등급")</f>
        <v>1등급</v>
      </c>
      <c r="P456" s="5" t="str">
        <f>HYPERLINK("http://www.lghausys.co.kr/popup/rn/download/downloadPopup.jsp?from=plwindow&amp;uu=/upload/window/REPORT/LGH-WA17-004.pdf","50등급")</f>
        <v>50등급</v>
      </c>
      <c r="Q456" s="5" t="str">
        <f>HYPERLINK("http://www.lghausys.co.kr/popup/rn/download/downloadPopup.jsp?from=plwindow&amp;uu=/upload/window/REPORT/LGH-WA17-004.pdf","400등급")</f>
        <v>400등급</v>
      </c>
      <c r="R456" s="5" t="s">
        <v>19</v>
      </c>
      <c r="S456" s="5" t="s">
        <v>19</v>
      </c>
      <c r="T456" s="5" t="s">
        <v>19</v>
      </c>
      <c r="U456" s="5" t="s">
        <v>19</v>
      </c>
      <c r="V456" s="5" t="s">
        <v>19</v>
      </c>
      <c r="W456" s="5" t="s">
        <v>152</v>
      </c>
      <c r="X456"/>
    </row>
    <row r="457" spans="1:24">
      <c r="A457" t="s">
        <v>19</v>
      </c>
      <c r="B457" t="s">
        <v>49</v>
      </c>
      <c r="C457" t="s">
        <v>34</v>
      </c>
      <c r="D457" t="s">
        <v>79</v>
      </c>
      <c r="E457" t="s">
        <v>19</v>
      </c>
      <c r="F457" t="s">
        <v>19</v>
      </c>
      <c r="G457" t="s">
        <v>19</v>
      </c>
      <c r="H457" t="s">
        <v>19</v>
      </c>
      <c r="I457" t="s">
        <v>19</v>
      </c>
      <c r="J457" t="s">
        <v>19</v>
      </c>
      <c r="K457" s="21" t="s">
        <v>607</v>
      </c>
      <c r="L457" s="5" t="s">
        <v>19</v>
      </c>
      <c r="M457" s="5" t="s">
        <v>19</v>
      </c>
      <c r="N457" s="5" t="str">
        <f>HYPERLINK("http://www.lghausys.co.kr/popup/rn/download/downloadPopup.jsp?from=plwindow&amp;uu=/upload/window/REPORT/TA-120112-08.pdf","5.2632")</f>
        <v>5.2632</v>
      </c>
      <c r="O457" s="5" t="s">
        <v>19</v>
      </c>
      <c r="P457" s="5" t="s">
        <v>19</v>
      </c>
      <c r="Q457" s="5" t="s">
        <v>19</v>
      </c>
      <c r="R457" s="5" t="s">
        <v>19</v>
      </c>
      <c r="S457" s="5" t="s">
        <v>19</v>
      </c>
      <c r="T457" s="5" t="s">
        <v>19</v>
      </c>
      <c r="U457" s="5" t="s">
        <v>19</v>
      </c>
      <c r="V457" s="5" t="s">
        <v>19</v>
      </c>
      <c r="W457" s="5" t="s">
        <v>75</v>
      </c>
      <c r="X457"/>
    </row>
    <row r="458" spans="1:24">
      <c r="A458" t="s">
        <v>27</v>
      </c>
      <c r="B458" t="s">
        <v>19</v>
      </c>
      <c r="C458" t="s">
        <v>34</v>
      </c>
      <c r="D458" t="s">
        <v>28</v>
      </c>
      <c r="E458" t="s">
        <v>168</v>
      </c>
      <c r="F458" t="s">
        <v>19</v>
      </c>
      <c r="G458" t="s">
        <v>19</v>
      </c>
      <c r="H458" t="s">
        <v>25</v>
      </c>
      <c r="I458" t="s">
        <v>19</v>
      </c>
      <c r="J458" t="s">
        <v>19</v>
      </c>
      <c r="K458" s="21" t="s">
        <v>607</v>
      </c>
      <c r="L458" s="5" t="s">
        <v>19</v>
      </c>
      <c r="M458" s="5" t="s">
        <v>19</v>
      </c>
      <c r="N458" s="5" t="str">
        <f>HYPERLINK("http://www.lghausys.co.kr/popup/rn/download/downloadPopup.jsp?from=plwindow&amp;uu=/upload/window/REPORT/TA-120224-16.pdf","1.0341")</f>
        <v>1.0341</v>
      </c>
      <c r="O458" s="5" t="s">
        <v>19</v>
      </c>
      <c r="P458" s="5" t="s">
        <v>19</v>
      </c>
      <c r="Q458" s="5" t="s">
        <v>19</v>
      </c>
      <c r="R458" s="5" t="s">
        <v>19</v>
      </c>
      <c r="S458" s="5" t="s">
        <v>19</v>
      </c>
      <c r="T458" s="5" t="s">
        <v>19</v>
      </c>
      <c r="U458" s="5" t="s">
        <v>19</v>
      </c>
      <c r="V458" s="5" t="s">
        <v>19</v>
      </c>
      <c r="W458" s="5" t="s">
        <v>75</v>
      </c>
      <c r="X458"/>
    </row>
    <row r="459" spans="1:24">
      <c r="A459" t="s">
        <v>44</v>
      </c>
      <c r="B459" t="s">
        <v>19</v>
      </c>
      <c r="C459" t="s">
        <v>34</v>
      </c>
      <c r="D459" t="s">
        <v>151</v>
      </c>
      <c r="E459" t="s">
        <v>19</v>
      </c>
      <c r="F459" t="s">
        <v>19</v>
      </c>
      <c r="G459" t="s">
        <v>19</v>
      </c>
      <c r="H459" t="s">
        <v>19</v>
      </c>
      <c r="I459" t="s">
        <v>19</v>
      </c>
      <c r="J459" t="s">
        <v>19</v>
      </c>
      <c r="K459" s="21" t="s">
        <v>607</v>
      </c>
      <c r="L459" s="5" t="s">
        <v>19</v>
      </c>
      <c r="M459" s="5" t="s">
        <v>19</v>
      </c>
      <c r="N459" s="5" t="str">
        <f>HYPERLINK("http://www.lghausys.co.kr/popup/rn/download/downloadPopup.jsp?from=plwindow&amp;uu=/upload/window/REPORT/TA-120225-17.pdf","1.3351")</f>
        <v>1.3351</v>
      </c>
      <c r="O459" s="5" t="s">
        <v>19</v>
      </c>
      <c r="P459" s="5" t="s">
        <v>19</v>
      </c>
      <c r="Q459" s="5" t="s">
        <v>19</v>
      </c>
      <c r="R459" s="5" t="s">
        <v>19</v>
      </c>
      <c r="S459" s="5" t="s">
        <v>19</v>
      </c>
      <c r="T459" s="5" t="s">
        <v>19</v>
      </c>
      <c r="U459" s="5" t="s">
        <v>19</v>
      </c>
      <c r="V459" s="5" t="s">
        <v>19</v>
      </c>
      <c r="W459" s="5" t="s">
        <v>75</v>
      </c>
      <c r="X459"/>
    </row>
    <row r="460" spans="1:24">
      <c r="A460" t="s">
        <v>19</v>
      </c>
      <c r="B460" t="s">
        <v>49</v>
      </c>
      <c r="C460" t="s">
        <v>31</v>
      </c>
      <c r="D460" t="s">
        <v>79</v>
      </c>
      <c r="E460" t="s">
        <v>19</v>
      </c>
      <c r="F460" t="s">
        <v>19</v>
      </c>
      <c r="G460" t="s">
        <v>19</v>
      </c>
      <c r="H460" t="s">
        <v>19</v>
      </c>
      <c r="I460" t="s">
        <v>19</v>
      </c>
      <c r="J460" t="s">
        <v>19</v>
      </c>
      <c r="K460" s="21" t="s">
        <v>607</v>
      </c>
      <c r="L460" s="5" t="s">
        <v>19</v>
      </c>
      <c r="M460" s="5" t="s">
        <v>19</v>
      </c>
      <c r="N460" s="5" t="s">
        <v>19</v>
      </c>
      <c r="O460" s="5" t="str">
        <f>HYPERLINK("http://www.lghausys.co.kr/popup/rn/download/downloadPopup.jsp?from=plwindow&amp;uu=/upload/window/REPORT/WA-111228-11.pdf","8등급")</f>
        <v>8등급</v>
      </c>
      <c r="P460" s="5" t="s">
        <v>19</v>
      </c>
      <c r="Q460" s="5" t="s">
        <v>19</v>
      </c>
      <c r="R460" s="5" t="s">
        <v>19</v>
      </c>
      <c r="S460" s="5" t="s">
        <v>19</v>
      </c>
      <c r="T460" s="5" t="s">
        <v>19</v>
      </c>
      <c r="U460" s="5" t="s">
        <v>19</v>
      </c>
      <c r="V460" s="5" t="s">
        <v>19</v>
      </c>
      <c r="W460" s="5" t="s">
        <v>152</v>
      </c>
      <c r="X460"/>
    </row>
    <row r="461" spans="1:24">
      <c r="A461" t="s">
        <v>19</v>
      </c>
      <c r="B461" t="s">
        <v>49</v>
      </c>
      <c r="C461" t="s">
        <v>34</v>
      </c>
      <c r="D461" t="s">
        <v>79</v>
      </c>
      <c r="E461" t="s">
        <v>19</v>
      </c>
      <c r="F461" t="s">
        <v>19</v>
      </c>
      <c r="G461" t="s">
        <v>19</v>
      </c>
      <c r="H461" t="s">
        <v>19</v>
      </c>
      <c r="I461" t="s">
        <v>19</v>
      </c>
      <c r="J461" t="s">
        <v>19</v>
      </c>
      <c r="K461" s="21" t="s">
        <v>607</v>
      </c>
      <c r="L461" s="5" t="s">
        <v>19</v>
      </c>
      <c r="M461" s="5" t="s">
        <v>19</v>
      </c>
      <c r="N461" s="5" t="str">
        <f>HYPERLINK("http://www.lghausys.co.kr/popup/rn/download/downloadPopup.jsp?from=plwindow&amp;uu=/upload/window/REPORT/WTC1100037.pdf","5.38")</f>
        <v>5.38</v>
      </c>
      <c r="O461" s="5" t="s">
        <v>19</v>
      </c>
      <c r="P461" s="5" t="s">
        <v>19</v>
      </c>
      <c r="Q461" s="5" t="s">
        <v>19</v>
      </c>
      <c r="R461" s="5" t="s">
        <v>19</v>
      </c>
      <c r="S461" s="5" t="s">
        <v>19</v>
      </c>
      <c r="T461" s="5" t="s">
        <v>19</v>
      </c>
      <c r="U461" s="5" t="s">
        <v>19</v>
      </c>
      <c r="V461" s="5" t="s">
        <v>19</v>
      </c>
      <c r="W461" s="5" t="s">
        <v>19</v>
      </c>
      <c r="X461"/>
    </row>
    <row r="462" spans="1:24">
      <c r="A462" t="s">
        <v>42</v>
      </c>
      <c r="B462" t="s">
        <v>43</v>
      </c>
      <c r="C462" t="s">
        <v>34</v>
      </c>
      <c r="D462" t="s">
        <v>41</v>
      </c>
      <c r="E462" t="s">
        <v>19</v>
      </c>
      <c r="F462" t="s">
        <v>19</v>
      </c>
      <c r="G462" t="s">
        <v>19</v>
      </c>
      <c r="H462" t="s">
        <v>19</v>
      </c>
      <c r="I462" t="s">
        <v>19</v>
      </c>
      <c r="J462" t="s">
        <v>19</v>
      </c>
      <c r="K462" s="21" t="s">
        <v>607</v>
      </c>
      <c r="L462" s="5" t="s">
        <v>19</v>
      </c>
      <c r="M462" s="5" t="s">
        <v>19</v>
      </c>
      <c r="N462" s="5" t="str">
        <f>HYPERLINK("http://www.lghausys.co.kr/popup/rn/download/downloadPopup.jsp?from=plwindow&amp;uu=/upload/window/REPORT/WTC1100056.pdf","2.85")</f>
        <v>2.85</v>
      </c>
      <c r="O462" s="5" t="s">
        <v>19</v>
      </c>
      <c r="P462" s="5" t="s">
        <v>19</v>
      </c>
      <c r="Q462" s="5" t="s">
        <v>19</v>
      </c>
      <c r="R462" s="5" t="s">
        <v>19</v>
      </c>
      <c r="S462" s="5" t="s">
        <v>19</v>
      </c>
      <c r="T462" s="5" t="s">
        <v>19</v>
      </c>
      <c r="U462" s="5" t="s">
        <v>19</v>
      </c>
      <c r="V462" s="5" t="s">
        <v>19</v>
      </c>
      <c r="W462" s="5" t="s">
        <v>19</v>
      </c>
      <c r="X462"/>
    </row>
    <row r="463" spans="1:24">
      <c r="A463" t="s">
        <v>19</v>
      </c>
      <c r="B463" t="s">
        <v>83</v>
      </c>
      <c r="C463" t="s">
        <v>34</v>
      </c>
      <c r="D463" t="s">
        <v>41</v>
      </c>
      <c r="E463" t="s">
        <v>19</v>
      </c>
      <c r="F463" t="s">
        <v>19</v>
      </c>
      <c r="G463" t="s">
        <v>19</v>
      </c>
      <c r="H463" t="s">
        <v>19</v>
      </c>
      <c r="I463" t="s">
        <v>19</v>
      </c>
      <c r="J463" t="s">
        <v>19</v>
      </c>
      <c r="K463" s="21" t="s">
        <v>607</v>
      </c>
      <c r="L463" s="5" t="s">
        <v>19</v>
      </c>
      <c r="M463" s="5" t="s">
        <v>19</v>
      </c>
      <c r="N463" s="5" t="s">
        <v>19</v>
      </c>
      <c r="O463" s="5" t="s">
        <v>19</v>
      </c>
      <c r="P463" s="5" t="s">
        <v>19</v>
      </c>
      <c r="Q463" s="5" t="s">
        <v>19</v>
      </c>
      <c r="R463" s="5" t="s">
        <v>19</v>
      </c>
      <c r="S463" s="5" t="s">
        <v>19</v>
      </c>
      <c r="T463" s="5" t="s">
        <v>19</v>
      </c>
      <c r="U463" s="5" t="s">
        <v>19</v>
      </c>
      <c r="V463" s="5" t="s">
        <v>19</v>
      </c>
      <c r="W463" s="5" t="s">
        <v>19</v>
      </c>
      <c r="X463"/>
    </row>
    <row r="464" spans="1:24">
      <c r="A464" t="s">
        <v>39</v>
      </c>
      <c r="B464" t="s">
        <v>19</v>
      </c>
      <c r="C464" t="s">
        <v>20</v>
      </c>
      <c r="D464" t="s">
        <v>89</v>
      </c>
      <c r="E464" t="s">
        <v>19</v>
      </c>
      <c r="F464" t="s">
        <v>19</v>
      </c>
      <c r="G464" t="s">
        <v>19</v>
      </c>
      <c r="H464" t="s">
        <v>19</v>
      </c>
      <c r="I464" t="s">
        <v>19</v>
      </c>
      <c r="J464" t="s">
        <v>19</v>
      </c>
      <c r="K464" s="21" t="str">
        <f>IF(X464&lt;=0.9,HYPERLINK("http://www.lxhausys.co.kr/popup/rn/download/downloadPopup.jsp?from=plwindow&amp;uu=/upload/window/REPORT/WTC1100067.pdf","1등급"),IF(X464&lt;=1.2,HYPERLINK("http://www.lxhausys.co.kr/popup/rn/download/downloadPopup.jsp?from=plwindow&amp;uu=/upload/window/REPORT/WTC1100067.pdf","2등급"),IF(X464&lt;=1.8,HYPERLINK("http://www.lxhausys.co.kr/popup/rn/download/downloadPopup.jsp?from=plwindow&amp;uu=/upload/window/REPORT/WTC1100067.pdf","3등급"),IF(X464&lt;=2.3,HYPERLINK("http://www.lxhausys.co.kr/popup/rn/download/downloadPopup.jsp?from=plwindow&amp;uu=/upload/window/REPORT/WTC1100067.pdf","4등급"),IF(X464&lt;=2.8,HYPERLINK("http://www.lxhausys.co.kr/popup/rn/download/downloadPopup.jsp?from=plwindow&amp;uu=/upload/window/REPORT/WTC1100067.pdf","5등급"),HYPERLINK("http://www.lxhausys.co.kr/popup/rn/download/downloadPopup.jsp?from=plwindow&amp;uu=/upload/window/REPORT/WTC1100067.pdf","등급외"))))))</f>
        <v>3등급</v>
      </c>
      <c r="L464" s="5">
        <v>1.718</v>
      </c>
      <c r="M464" s="5" t="s">
        <v>22</v>
      </c>
      <c r="N464" s="5" t="s">
        <v>607</v>
      </c>
      <c r="O464" s="5" t="s">
        <v>19</v>
      </c>
      <c r="P464" s="5" t="s">
        <v>19</v>
      </c>
      <c r="Q464" s="5" t="s">
        <v>19</v>
      </c>
      <c r="R464" s="5" t="s">
        <v>19</v>
      </c>
      <c r="S464" s="5" t="s">
        <v>19</v>
      </c>
      <c r="T464" s="5" t="s">
        <v>19</v>
      </c>
      <c r="U464" s="5" t="s">
        <v>19</v>
      </c>
      <c r="V464" s="5" t="s">
        <v>19</v>
      </c>
      <c r="W464" s="5" t="s">
        <v>19</v>
      </c>
      <c r="X464" s="19">
        <f>L464</f>
        <v>1.718</v>
      </c>
    </row>
    <row r="465" spans="1:24">
      <c r="A465" t="s">
        <v>42</v>
      </c>
      <c r="B465" t="s">
        <v>43</v>
      </c>
      <c r="C465" t="s">
        <v>20</v>
      </c>
      <c r="D465" t="s">
        <v>41</v>
      </c>
      <c r="E465" t="s">
        <v>19</v>
      </c>
      <c r="F465" t="s">
        <v>19</v>
      </c>
      <c r="G465" t="s">
        <v>19</v>
      </c>
      <c r="H465" t="s">
        <v>19</v>
      </c>
      <c r="I465" t="s">
        <v>19</v>
      </c>
      <c r="J465" t="s">
        <v>19</v>
      </c>
      <c r="K465" s="21" t="str">
        <f>IF(X465&lt;=0.9,HYPERLINK("http://www.lxhausys.co.kr/popup/rn/download/downloadPopup.jsp?from=plwindow&amp;uu=/upload/window/REPORT/WTC1100069.pdf","1등급"),IF(X465&lt;=1.2,HYPERLINK("http://www.lxhausys.co.kr/popup/rn/download/downloadPopup.jsp?from=plwindow&amp;uu=/upload/window/REPORT/WTC1100069.pdf","2등급"),IF(X465&lt;=1.8,HYPERLINK("http://www.lxhausys.co.kr/popup/rn/download/downloadPopup.jsp?from=plwindow&amp;uu=/upload/window/REPORT/WTC1100069.pdf","3등급"),IF(X465&lt;=2.3,HYPERLINK("http://www.lxhausys.co.kr/popup/rn/download/downloadPopup.jsp?from=plwindow&amp;uu=/upload/window/REPORT/WTC1100069.pdf","4등급"),IF(X465&lt;=2.8,HYPERLINK("http://www.lxhausys.co.kr/popup/rn/download/downloadPopup.jsp?from=plwindow&amp;uu=/upload/window/REPORT/WTC1100069.pdf","5등급"),HYPERLINK("http://www.lxhausys.co.kr/popup/rn/download/downloadPopup.jsp?from=plwindow&amp;uu=/upload/window/REPORT/WTC1100069.pdf","등급외"))))))</f>
        <v>등급외</v>
      </c>
      <c r="L465" s="5">
        <v>3.0960000000000001</v>
      </c>
      <c r="M465" s="5" t="s">
        <v>22</v>
      </c>
      <c r="N465" s="5" t="s">
        <v>607</v>
      </c>
      <c r="O465" s="5" t="s">
        <v>19</v>
      </c>
      <c r="P465" s="5" t="s">
        <v>19</v>
      </c>
      <c r="Q465" s="5" t="s">
        <v>19</v>
      </c>
      <c r="R465" s="5" t="s">
        <v>19</v>
      </c>
      <c r="S465" s="5" t="s">
        <v>19</v>
      </c>
      <c r="T465" s="5" t="s">
        <v>19</v>
      </c>
      <c r="U465" s="5" t="s">
        <v>19</v>
      </c>
      <c r="V465" s="5" t="s">
        <v>19</v>
      </c>
      <c r="W465" s="5" t="s">
        <v>19</v>
      </c>
      <c r="X465" s="19">
        <f>L465</f>
        <v>3.0960000000000001</v>
      </c>
    </row>
    <row r="466" spans="1:24">
      <c r="A466" t="s">
        <v>30</v>
      </c>
      <c r="B466" t="s">
        <v>19</v>
      </c>
      <c r="C466" t="s">
        <v>20</v>
      </c>
      <c r="D466" t="s">
        <v>25</v>
      </c>
      <c r="E466" t="s">
        <v>19</v>
      </c>
      <c r="F466" t="s">
        <v>19</v>
      </c>
      <c r="G466" t="s">
        <v>19</v>
      </c>
      <c r="H466" t="s">
        <v>41</v>
      </c>
      <c r="I466" t="s">
        <v>19</v>
      </c>
      <c r="J466" t="s">
        <v>19</v>
      </c>
      <c r="K466" s="21" t="str">
        <f>IF(X466&lt;=0.9,HYPERLINK("http://www.lxhausys.co.kr/popup/rn/download/downloadPopup.jsp?from=plwindow&amp;uu=/upload/window/REPORT/WTC1100075.pdf","1등급"),IF(X466&lt;=1.2,HYPERLINK("http://www.lxhausys.co.kr/popup/rn/download/downloadPopup.jsp?from=plwindow&amp;uu=/upload/window/REPORT/WTC1100075.pdf","2등급"),IF(X466&lt;=1.8,HYPERLINK("http://www.lxhausys.co.kr/popup/rn/download/downloadPopup.jsp?from=plwindow&amp;uu=/upload/window/REPORT/WTC1100075.pdf","3등급"),IF(X466&lt;=2.3,HYPERLINK("http://www.lxhausys.co.kr/popup/rn/download/downloadPopup.jsp?from=plwindow&amp;uu=/upload/window/REPORT/WTC1100075.pdf","4등급"),IF(X466&lt;=2.8,HYPERLINK("http://www.lxhausys.co.kr/popup/rn/download/downloadPopup.jsp?from=plwindow&amp;uu=/upload/window/REPORT/WTC1100075.pdf","5등급"),HYPERLINK("http://www.lxhausys.co.kr/popup/rn/download/downloadPopup.jsp?from=plwindow&amp;uu=/upload/window/REPORT/WTC1100075.pdf","등급외"))))))</f>
        <v>3등급</v>
      </c>
      <c r="L466" s="5">
        <v>1.306</v>
      </c>
      <c r="M466" s="5" t="s">
        <v>22</v>
      </c>
      <c r="N466" s="5" t="s">
        <v>607</v>
      </c>
      <c r="O466" s="5" t="s">
        <v>19</v>
      </c>
      <c r="P466" s="5" t="s">
        <v>19</v>
      </c>
      <c r="Q466" s="5" t="s">
        <v>19</v>
      </c>
      <c r="R466" s="5" t="s">
        <v>19</v>
      </c>
      <c r="S466" s="5" t="s">
        <v>19</v>
      </c>
      <c r="T466" s="5" t="s">
        <v>19</v>
      </c>
      <c r="U466" s="5" t="s">
        <v>19</v>
      </c>
      <c r="V466" s="5" t="s">
        <v>19</v>
      </c>
      <c r="W466" s="5" t="s">
        <v>19</v>
      </c>
      <c r="X466" s="19">
        <f>L466</f>
        <v>1.306</v>
      </c>
    </row>
    <row r="467" spans="1:24">
      <c r="A467" t="s">
        <v>27</v>
      </c>
      <c r="B467" t="s">
        <v>19</v>
      </c>
      <c r="C467" t="s">
        <v>20</v>
      </c>
      <c r="D467" t="s">
        <v>28</v>
      </c>
      <c r="E467" t="s">
        <v>168</v>
      </c>
      <c r="F467" t="s">
        <v>19</v>
      </c>
      <c r="G467" t="s">
        <v>19</v>
      </c>
      <c r="H467" t="s">
        <v>25</v>
      </c>
      <c r="I467" t="s">
        <v>19</v>
      </c>
      <c r="J467" t="s">
        <v>19</v>
      </c>
      <c r="K467" s="21" t="str">
        <f>IF(X467&lt;=0.9,HYPERLINK("http://www.lxhausys.co.kr/popup/rn/download/downloadPopup.jsp?from=plwindow&amp;uu=/upload/window/REPORT/WTC1100076.pdf","1등급"),IF(X467&lt;=1.2,HYPERLINK("http://www.lxhausys.co.kr/popup/rn/download/downloadPopup.jsp?from=plwindow&amp;uu=/upload/window/REPORT/WTC1100076.pdf","2등급"),IF(X467&lt;=1.8,HYPERLINK("http://www.lxhausys.co.kr/popup/rn/download/downloadPopup.jsp?from=plwindow&amp;uu=/upload/window/REPORT/WTC1100076.pdf","3등급"),IF(X467&lt;=2.3,HYPERLINK("http://www.lxhausys.co.kr/popup/rn/download/downloadPopup.jsp?from=plwindow&amp;uu=/upload/window/REPORT/WTC1100076.pdf","4등급"),IF(X467&lt;=2.8,HYPERLINK("http://www.lxhausys.co.kr/popup/rn/download/downloadPopup.jsp?from=plwindow&amp;uu=/upload/window/REPORT/WTC1100076.pdf","5등급"),HYPERLINK("http://www.lxhausys.co.kr/popup/rn/download/downloadPopup.jsp?from=plwindow&amp;uu=/upload/window/REPORT/WTC1100076.pdf","등급외"))))))</f>
        <v>2등급</v>
      </c>
      <c r="L467" s="5">
        <v>0.996</v>
      </c>
      <c r="M467" s="5" t="s">
        <v>22</v>
      </c>
      <c r="N467" s="5" t="s">
        <v>607</v>
      </c>
      <c r="O467" s="5" t="s">
        <v>19</v>
      </c>
      <c r="P467" s="5" t="s">
        <v>19</v>
      </c>
      <c r="Q467" s="5" t="s">
        <v>19</v>
      </c>
      <c r="R467" s="5" t="s">
        <v>19</v>
      </c>
      <c r="S467" s="5" t="s">
        <v>19</v>
      </c>
      <c r="T467" s="5" t="s">
        <v>19</v>
      </c>
      <c r="U467" s="5" t="s">
        <v>19</v>
      </c>
      <c r="V467" s="5" t="s">
        <v>19</v>
      </c>
      <c r="W467" s="5" t="s">
        <v>19</v>
      </c>
      <c r="X467" s="19">
        <f>L467</f>
        <v>0.996</v>
      </c>
    </row>
    <row r="468" spans="1:24">
      <c r="A468" t="s">
        <v>39</v>
      </c>
      <c r="B468" t="s">
        <v>19</v>
      </c>
      <c r="C468" t="s">
        <v>20</v>
      </c>
      <c r="D468" t="s">
        <v>113</v>
      </c>
      <c r="E468" t="s">
        <v>169</v>
      </c>
      <c r="F468" t="s">
        <v>19</v>
      </c>
      <c r="G468" t="s">
        <v>19</v>
      </c>
      <c r="H468" t="s">
        <v>19</v>
      </c>
      <c r="I468" t="s">
        <v>19</v>
      </c>
      <c r="J468" t="s">
        <v>19</v>
      </c>
      <c r="K468" s="21" t="str">
        <f>IF(X468&lt;=0.9,HYPERLINK("http://www.lxhausys.co.kr/popup/rn/download/downloadPopup.jsp?from=plwindow&amp;uu=/upload/window/REPORT/WTC1200080.pdf","1등급"),IF(X468&lt;=1.2,HYPERLINK("http://www.lxhausys.co.kr/popup/rn/download/downloadPopup.jsp?from=plwindow&amp;uu=/upload/window/REPORT/WTC1200080.pdf","2등급"),IF(X468&lt;=1.8,HYPERLINK("http://www.lxhausys.co.kr/popup/rn/download/downloadPopup.jsp?from=plwindow&amp;uu=/upload/window/REPORT/WTC1200080.pdf","3등급"),IF(X468&lt;=2.3,HYPERLINK("http://www.lxhausys.co.kr/popup/rn/download/downloadPopup.jsp?from=plwindow&amp;uu=/upload/window/REPORT/WTC1200080.pdf","4등급"),IF(X468&lt;=2.8,HYPERLINK("http://www.lxhausys.co.kr/popup/rn/download/downloadPopup.jsp?from=plwindow&amp;uu=/upload/window/REPORT/WTC1200080.pdf","5등급"),HYPERLINK("http://www.lxhausys.co.kr/popup/rn/download/downloadPopup.jsp?from=plwindow&amp;uu=/upload/window/REPORT/WTC1200080.pdf","등급외"))))))</f>
        <v>3등급</v>
      </c>
      <c r="L468" s="5">
        <v>1.306</v>
      </c>
      <c r="M468" s="5" t="s">
        <v>22</v>
      </c>
      <c r="N468" s="5" t="s">
        <v>607</v>
      </c>
      <c r="O468" s="5" t="s">
        <v>19</v>
      </c>
      <c r="P468" s="5" t="s">
        <v>19</v>
      </c>
      <c r="Q468" s="5" t="s">
        <v>19</v>
      </c>
      <c r="R468" s="5" t="s">
        <v>19</v>
      </c>
      <c r="S468" s="5" t="s">
        <v>19</v>
      </c>
      <c r="T468" s="5" t="s">
        <v>19</v>
      </c>
      <c r="U468" s="5" t="s">
        <v>19</v>
      </c>
      <c r="V468" s="5" t="s">
        <v>19</v>
      </c>
      <c r="W468" s="5" t="s">
        <v>19</v>
      </c>
      <c r="X468" s="19">
        <f>L468</f>
        <v>1.306</v>
      </c>
    </row>
    <row r="469" spans="1:24">
      <c r="A469" t="s">
        <v>19</v>
      </c>
      <c r="B469" t="s">
        <v>83</v>
      </c>
      <c r="C469" t="s">
        <v>34</v>
      </c>
      <c r="D469" t="s">
        <v>165</v>
      </c>
      <c r="E469" t="s">
        <v>19</v>
      </c>
      <c r="F469" t="s">
        <v>19</v>
      </c>
      <c r="G469" t="s">
        <v>19</v>
      </c>
      <c r="H469" t="s">
        <v>19</v>
      </c>
      <c r="I469" t="s">
        <v>19</v>
      </c>
      <c r="J469" t="s">
        <v>19</v>
      </c>
      <c r="K469" s="21" t="s">
        <v>607</v>
      </c>
      <c r="L469" s="5" t="s">
        <v>19</v>
      </c>
      <c r="M469" s="5" t="s">
        <v>19</v>
      </c>
      <c r="N469" s="5" t="str">
        <f>HYPERLINK("http://www.lghausys.co.kr/popup/rn/download/downloadPopup.jsp?from=plwindow&amp;uu=/upload/window/REPORT/WTC1200084.pdf","2.619")</f>
        <v>2.619</v>
      </c>
      <c r="O469" s="5" t="s">
        <v>19</v>
      </c>
      <c r="P469" s="5" t="s">
        <v>19</v>
      </c>
      <c r="Q469" s="5" t="s">
        <v>19</v>
      </c>
      <c r="R469" s="5" t="s">
        <v>19</v>
      </c>
      <c r="S469" s="5" t="s">
        <v>19</v>
      </c>
      <c r="T469" s="5" t="s">
        <v>19</v>
      </c>
      <c r="U469" s="5" t="s">
        <v>19</v>
      </c>
      <c r="V469" s="5" t="s">
        <v>19</v>
      </c>
      <c r="W469" s="5" t="s">
        <v>19</v>
      </c>
      <c r="X469"/>
    </row>
    <row r="470" spans="1:24">
      <c r="A470" t="s">
        <v>78</v>
      </c>
      <c r="B470" t="s">
        <v>19</v>
      </c>
      <c r="C470" t="s">
        <v>20</v>
      </c>
      <c r="D470" t="s">
        <v>25</v>
      </c>
      <c r="E470" t="s">
        <v>33</v>
      </c>
      <c r="F470" t="s">
        <v>19</v>
      </c>
      <c r="G470" t="s">
        <v>19</v>
      </c>
      <c r="H470" t="s">
        <v>19</v>
      </c>
      <c r="I470" t="s">
        <v>19</v>
      </c>
      <c r="J470" t="s">
        <v>19</v>
      </c>
      <c r="K470" s="21" t="str">
        <f>IF(X470&lt;=0.9,HYPERLINK("http://www.lxhausys.co.kr/popup/rn/download/downloadPopup.jsp?from=plwindow&amp;uu=/upload/window/REPORT/WTC1200362.pdf","1등급"),IF(X470&lt;=1.2,HYPERLINK("http://www.lxhausys.co.kr/popup/rn/download/downloadPopup.jsp?from=plwindow&amp;uu=/upload/window/REPORT/WTC1200362.pdf","2등급"),IF(X470&lt;=1.8,HYPERLINK("http://www.lxhausys.co.kr/popup/rn/download/downloadPopup.jsp?from=plwindow&amp;uu=/upload/window/REPORT/WTC1200362.pdf","3등급"),IF(X470&lt;=2.3,HYPERLINK("http://www.lxhausys.co.kr/popup/rn/download/downloadPopup.jsp?from=plwindow&amp;uu=/upload/window/REPORT/WTC1200362.pdf","4등급"),IF(X470&lt;=2.8,HYPERLINK("http://www.lxhausys.co.kr/popup/rn/download/downloadPopup.jsp?from=plwindow&amp;uu=/upload/window/REPORT/WTC1200362.pdf","5등급"),HYPERLINK("http://www.lxhausys.co.kr/popup/rn/download/downloadPopup.jsp?from=plwindow&amp;uu=/upload/window/REPORT/WTC1200362.pdf","등급외"))))))</f>
        <v>5등급</v>
      </c>
      <c r="L470" s="5">
        <v>2.625</v>
      </c>
      <c r="M470" s="5" t="s">
        <v>103</v>
      </c>
      <c r="N470" s="5" t="s">
        <v>607</v>
      </c>
      <c r="O470" s="5" t="s">
        <v>19</v>
      </c>
      <c r="P470" s="5" t="s">
        <v>19</v>
      </c>
      <c r="Q470" s="5" t="s">
        <v>19</v>
      </c>
      <c r="R470" s="5" t="s">
        <v>19</v>
      </c>
      <c r="S470" s="5" t="s">
        <v>19</v>
      </c>
      <c r="T470" s="5" t="s">
        <v>19</v>
      </c>
      <c r="U470" s="5" t="s">
        <v>19</v>
      </c>
      <c r="V470" s="5" t="s">
        <v>19</v>
      </c>
      <c r="W470" s="5" t="s">
        <v>19</v>
      </c>
      <c r="X470" s="19">
        <f>L470</f>
        <v>2.625</v>
      </c>
    </row>
    <row r="471" spans="1:24">
      <c r="A471" t="s">
        <v>44</v>
      </c>
      <c r="B471" t="s">
        <v>19</v>
      </c>
      <c r="C471" t="s">
        <v>20</v>
      </c>
      <c r="D471" t="s">
        <v>170</v>
      </c>
      <c r="E471" t="s">
        <v>19</v>
      </c>
      <c r="F471" t="s">
        <v>19</v>
      </c>
      <c r="G471" t="s">
        <v>19</v>
      </c>
      <c r="H471" t="s">
        <v>19</v>
      </c>
      <c r="I471" t="s">
        <v>19</v>
      </c>
      <c r="J471" t="s">
        <v>19</v>
      </c>
      <c r="K471" s="21" t="str">
        <f>IF(X471&lt;=0.9,HYPERLINK("http://www.lxhausys.co.kr/popup/rn/download/downloadPopup.jsp?from=plwindow&amp;uu=/upload/window/REPORT/WTC1200409.pdf","1등급"),IF(X471&lt;=1.2,HYPERLINK("http://www.lxhausys.co.kr/popup/rn/download/downloadPopup.jsp?from=plwindow&amp;uu=/upload/window/REPORT/WTC1200409.pdf","2등급"),IF(X471&lt;=1.8,HYPERLINK("http://www.lxhausys.co.kr/popup/rn/download/downloadPopup.jsp?from=plwindow&amp;uu=/upload/window/REPORT/WTC1200409.pdf","3등급"),IF(X471&lt;=2.3,HYPERLINK("http://www.lxhausys.co.kr/popup/rn/download/downloadPopup.jsp?from=plwindow&amp;uu=/upload/window/REPORT/WTC1200409.pdf","4등급"),IF(X471&lt;=2.8,HYPERLINK("http://www.lxhausys.co.kr/popup/rn/download/downloadPopup.jsp?from=plwindow&amp;uu=/upload/window/REPORT/WTC1200409.pdf","5등급"),HYPERLINK("http://www.lxhausys.co.kr/popup/rn/download/downloadPopup.jsp?from=plwindow&amp;uu=/upload/window/REPORT/WTC1200409.pdf","등급외"))))))</f>
        <v>3등급</v>
      </c>
      <c r="L471" s="5">
        <v>1.6719999999999999</v>
      </c>
      <c r="M471" s="5" t="s">
        <v>22</v>
      </c>
      <c r="N471" s="5" t="s">
        <v>607</v>
      </c>
      <c r="O471" s="5" t="s">
        <v>19</v>
      </c>
      <c r="P471" s="5" t="s">
        <v>19</v>
      </c>
      <c r="Q471" s="5" t="s">
        <v>19</v>
      </c>
      <c r="R471" s="5" t="s">
        <v>19</v>
      </c>
      <c r="S471" s="5" t="s">
        <v>19</v>
      </c>
      <c r="T471" s="5" t="s">
        <v>19</v>
      </c>
      <c r="U471" s="5" t="s">
        <v>19</v>
      </c>
      <c r="V471" s="5" t="s">
        <v>19</v>
      </c>
      <c r="W471" s="5" t="s">
        <v>19</v>
      </c>
      <c r="X471" s="19">
        <f>L471</f>
        <v>1.6719999999999999</v>
      </c>
    </row>
    <row r="472" spans="1:24">
      <c r="A472" t="s">
        <v>57</v>
      </c>
      <c r="B472" t="s">
        <v>58</v>
      </c>
      <c r="C472" t="s">
        <v>34</v>
      </c>
      <c r="D472" t="s">
        <v>89</v>
      </c>
      <c r="E472" t="s">
        <v>19</v>
      </c>
      <c r="F472" t="s">
        <v>19</v>
      </c>
      <c r="G472" t="s">
        <v>19</v>
      </c>
      <c r="H472" t="s">
        <v>19</v>
      </c>
      <c r="I472" t="s">
        <v>19</v>
      </c>
      <c r="J472" t="s">
        <v>19</v>
      </c>
      <c r="K472" s="21" t="s">
        <v>607</v>
      </c>
      <c r="L472" s="5" t="s">
        <v>19</v>
      </c>
      <c r="M472" s="5" t="s">
        <v>19</v>
      </c>
      <c r="N472" s="5" t="str">
        <f>HYPERLINK("http://www.lghausys.co.kr/popup/rn/download/downloadPopup.jsp?from=plwindow&amp;uu=/upload/window/REPORT/WTC1200410.pdf","2.948")</f>
        <v>2.948</v>
      </c>
      <c r="O472" s="5" t="s">
        <v>19</v>
      </c>
      <c r="P472" s="5" t="s">
        <v>19</v>
      </c>
      <c r="Q472" s="5" t="s">
        <v>19</v>
      </c>
      <c r="R472" s="5" t="s">
        <v>19</v>
      </c>
      <c r="S472" s="5" t="s">
        <v>19</v>
      </c>
      <c r="T472" s="5" t="s">
        <v>19</v>
      </c>
      <c r="U472" s="5" t="s">
        <v>19</v>
      </c>
      <c r="V472" s="5" t="s">
        <v>19</v>
      </c>
      <c r="W472" s="5" t="s">
        <v>19</v>
      </c>
      <c r="X472"/>
    </row>
    <row r="473" spans="1:24">
      <c r="A473" t="s">
        <v>171</v>
      </c>
      <c r="B473" t="s">
        <v>19</v>
      </c>
      <c r="C473" t="s">
        <v>31</v>
      </c>
      <c r="D473" t="s">
        <v>68</v>
      </c>
      <c r="E473" t="s">
        <v>19</v>
      </c>
      <c r="F473" t="s">
        <v>19</v>
      </c>
      <c r="G473" t="s">
        <v>19</v>
      </c>
      <c r="H473" t="s">
        <v>19</v>
      </c>
      <c r="I473" t="s">
        <v>19</v>
      </c>
      <c r="J473" t="s">
        <v>19</v>
      </c>
      <c r="K473" s="21" t="s">
        <v>607</v>
      </c>
      <c r="L473" s="5" t="s">
        <v>19</v>
      </c>
      <c r="M473" s="5" t="s">
        <v>19</v>
      </c>
      <c r="N473" s="5" t="s">
        <v>19</v>
      </c>
      <c r="O473" s="5" t="str">
        <f>HYPERLINK("http://www.lghausys.co.kr/popup/rn/download/downloadPopup.jsp?from=plwindow&amp;uu=/upload/window/REPORT/LGH-WA17-008.pdf","2등급")</f>
        <v>2등급</v>
      </c>
      <c r="P473" s="5" t="s">
        <v>19</v>
      </c>
      <c r="Q473" s="5" t="s">
        <v>19</v>
      </c>
      <c r="R473" s="5" t="s">
        <v>19</v>
      </c>
      <c r="S473" s="5" t="s">
        <v>19</v>
      </c>
      <c r="T473" s="5" t="s">
        <v>19</v>
      </c>
      <c r="U473" s="5" t="s">
        <v>19</v>
      </c>
      <c r="V473" s="5" t="s">
        <v>19</v>
      </c>
      <c r="W473" s="5" t="s">
        <v>152</v>
      </c>
      <c r="X473"/>
    </row>
    <row r="474" spans="1:24">
      <c r="A474" t="s">
        <v>172</v>
      </c>
      <c r="B474" t="s">
        <v>19</v>
      </c>
      <c r="C474" t="s">
        <v>31</v>
      </c>
      <c r="D474" t="s">
        <v>25</v>
      </c>
      <c r="E474" t="s">
        <v>19</v>
      </c>
      <c r="F474" t="s">
        <v>19</v>
      </c>
      <c r="G474" t="s">
        <v>19</v>
      </c>
      <c r="H474" t="s">
        <v>19</v>
      </c>
      <c r="I474" t="s">
        <v>19</v>
      </c>
      <c r="J474" t="s">
        <v>19</v>
      </c>
      <c r="K474" s="21" t="s">
        <v>607</v>
      </c>
      <c r="L474" s="5" t="s">
        <v>19</v>
      </c>
      <c r="M474" s="5" t="s">
        <v>19</v>
      </c>
      <c r="N474" s="5" t="s">
        <v>19</v>
      </c>
      <c r="O474" s="5" t="str">
        <f>HYPERLINK("http://www.lghausys.co.kr/popup/rn/download/downloadPopup.jsp?from=plwindow&amp;uu=/upload/window/REPORT/LGH-WA17-009.pdf","2등급")</f>
        <v>2등급</v>
      </c>
      <c r="P474" s="5" t="str">
        <f>HYPERLINK("http://www.lghausys.co.kr/popup/rn/download/downloadPopup.jsp?from=plwindow&amp;uu=/upload/window/REPORT/LGH-WA17-009.pdf","15등급")</f>
        <v>15등급</v>
      </c>
      <c r="Q474" s="5" t="str">
        <f>HYPERLINK("http://www.lghausys.co.kr/popup/rn/download/downloadPopup.jsp?from=plwindow&amp;uu=/upload/window/REPORT/LGH-WA17-009.pdf","150등급")</f>
        <v>150등급</v>
      </c>
      <c r="R474" s="5" t="s">
        <v>19</v>
      </c>
      <c r="S474" s="5" t="s">
        <v>19</v>
      </c>
      <c r="T474" s="5" t="s">
        <v>19</v>
      </c>
      <c r="U474" s="5" t="s">
        <v>19</v>
      </c>
      <c r="V474" s="5" t="s">
        <v>19</v>
      </c>
      <c r="W474" s="5" t="s">
        <v>152</v>
      </c>
      <c r="X474"/>
    </row>
    <row r="475" spans="1:24">
      <c r="A475" t="s">
        <v>173</v>
      </c>
      <c r="B475" t="s">
        <v>19</v>
      </c>
      <c r="C475" t="s">
        <v>31</v>
      </c>
      <c r="D475" t="s">
        <v>25</v>
      </c>
      <c r="E475" t="s">
        <v>19</v>
      </c>
      <c r="F475" t="s">
        <v>19</v>
      </c>
      <c r="G475" t="s">
        <v>19</v>
      </c>
      <c r="H475" t="s">
        <v>25</v>
      </c>
      <c r="I475" t="s">
        <v>19</v>
      </c>
      <c r="J475" t="s">
        <v>19</v>
      </c>
      <c r="K475" s="21" t="s">
        <v>607</v>
      </c>
      <c r="L475" s="5" t="s">
        <v>19</v>
      </c>
      <c r="M475" s="5" t="s">
        <v>19</v>
      </c>
      <c r="N475" s="5" t="s">
        <v>19</v>
      </c>
      <c r="O475" s="5" t="str">
        <f>HYPERLINK("http://www.lghausys.co.kr/popup/rn/download/downloadPopup.jsp?from=plwindow&amp;uu=/upload/window/REPORT/LGH-WA17-010.pdf","1등급")</f>
        <v>1등급</v>
      </c>
      <c r="P475" s="5" t="str">
        <f>HYPERLINK("http://www.lghausys.co.kr/popup/rn/download/downloadPopup.jsp?from=plwindow&amp;uu=/upload/window/REPORT/LGH-WA17-010.pdf","50등급")</f>
        <v>50등급</v>
      </c>
      <c r="Q475" s="5" t="str">
        <f>HYPERLINK("http://www.lghausys.co.kr/popup/rn/download/downloadPopup.jsp?from=plwindow&amp;uu=/upload/window/REPORT/LGH-WA17-010.pdf","300등급")</f>
        <v>300등급</v>
      </c>
      <c r="R475" s="5" t="s">
        <v>19</v>
      </c>
      <c r="S475" s="5" t="s">
        <v>19</v>
      </c>
      <c r="T475" s="5" t="s">
        <v>19</v>
      </c>
      <c r="U475" s="5" t="s">
        <v>19</v>
      </c>
      <c r="V475" s="5" t="s">
        <v>19</v>
      </c>
      <c r="W475" s="5" t="s">
        <v>152</v>
      </c>
      <c r="X475"/>
    </row>
    <row r="476" spans="1:24">
      <c r="A476" t="s">
        <v>174</v>
      </c>
      <c r="B476" t="s">
        <v>19</v>
      </c>
      <c r="C476" t="s">
        <v>31</v>
      </c>
      <c r="D476" t="s">
        <v>25</v>
      </c>
      <c r="E476" t="s">
        <v>19</v>
      </c>
      <c r="F476" t="s">
        <v>19</v>
      </c>
      <c r="G476" t="s">
        <v>19</v>
      </c>
      <c r="H476" t="s">
        <v>25</v>
      </c>
      <c r="I476" t="s">
        <v>19</v>
      </c>
      <c r="J476" t="s">
        <v>19</v>
      </c>
      <c r="K476" s="21" t="s">
        <v>607</v>
      </c>
      <c r="L476" s="5" t="s">
        <v>19</v>
      </c>
      <c r="M476" s="5" t="s">
        <v>19</v>
      </c>
      <c r="N476" s="5" t="s">
        <v>19</v>
      </c>
      <c r="O476" s="5" t="str">
        <f>HYPERLINK("http://www.lghausys.co.kr/popup/rn/download/downloadPopup.jsp?from=plwindow&amp;uu=/upload/window/REPORT/LGH-WA17-011.pdf","1등급")</f>
        <v>1등급</v>
      </c>
      <c r="P476" s="5" t="str">
        <f>HYPERLINK("http://www.lghausys.co.kr/popup/rn/download/downloadPopup.jsp?from=plwindow&amp;uu=/upload/window/REPORT/LGH-WA17-011.pdf","50등급")</f>
        <v>50등급</v>
      </c>
      <c r="Q476" s="5" t="str">
        <f>HYPERLINK("http://www.lghausys.co.kr/popup/rn/download/downloadPopup.jsp?from=plwindow&amp;uu=/upload/window/REPORT/LGH-WA17-011.pdf","300등급")</f>
        <v>300등급</v>
      </c>
      <c r="R476" s="5" t="s">
        <v>19</v>
      </c>
      <c r="S476" s="5" t="s">
        <v>19</v>
      </c>
      <c r="T476" s="5" t="s">
        <v>19</v>
      </c>
      <c r="U476" s="5" t="s">
        <v>19</v>
      </c>
      <c r="V476" s="5" t="s">
        <v>19</v>
      </c>
      <c r="W476" s="5" t="s">
        <v>152</v>
      </c>
      <c r="X476"/>
    </row>
    <row r="477" spans="1:24">
      <c r="A477" t="s">
        <v>172</v>
      </c>
      <c r="B477" t="s">
        <v>19</v>
      </c>
      <c r="C477" t="s">
        <v>34</v>
      </c>
      <c r="D477" t="s">
        <v>25</v>
      </c>
      <c r="E477" t="s">
        <v>19</v>
      </c>
      <c r="F477" t="s">
        <v>19</v>
      </c>
      <c r="G477" t="s">
        <v>19</v>
      </c>
      <c r="H477" t="s">
        <v>19</v>
      </c>
      <c r="I477" t="s">
        <v>19</v>
      </c>
      <c r="J477" t="s">
        <v>19</v>
      </c>
      <c r="K477" s="21" t="s">
        <v>607</v>
      </c>
      <c r="L477" s="5" t="s">
        <v>19</v>
      </c>
      <c r="M477" s="5" t="s">
        <v>19</v>
      </c>
      <c r="N477" s="5" t="str">
        <f>HYPERLINK("http://www.lghausys.co.kr/popup/rn/download/downloadPopup.jsp?from=plwindow&amp;uu=/upload/window/REPORT/LGH-TA17-011.pdf","3.0534")</f>
        <v>3.0534</v>
      </c>
      <c r="O477" s="5" t="s">
        <v>19</v>
      </c>
      <c r="P477" s="5" t="s">
        <v>19</v>
      </c>
      <c r="Q477" s="5" t="s">
        <v>19</v>
      </c>
      <c r="R477" s="5" t="s">
        <v>19</v>
      </c>
      <c r="S477" s="5" t="s">
        <v>19</v>
      </c>
      <c r="T477" s="5" t="s">
        <v>19</v>
      </c>
      <c r="U477" s="5" t="s">
        <v>19</v>
      </c>
      <c r="V477" s="5" t="s">
        <v>19</v>
      </c>
      <c r="W477" s="5" t="s">
        <v>75</v>
      </c>
      <c r="X477"/>
    </row>
    <row r="478" spans="1:24">
      <c r="A478" t="s">
        <v>172</v>
      </c>
      <c r="B478" t="s">
        <v>19</v>
      </c>
      <c r="C478" t="s">
        <v>34</v>
      </c>
      <c r="D478" t="s">
        <v>64</v>
      </c>
      <c r="E478" t="s">
        <v>19</v>
      </c>
      <c r="F478" t="s">
        <v>19</v>
      </c>
      <c r="G478" t="s">
        <v>19</v>
      </c>
      <c r="H478" t="s">
        <v>19</v>
      </c>
      <c r="I478" t="s">
        <v>19</v>
      </c>
      <c r="J478" t="s">
        <v>19</v>
      </c>
      <c r="K478" s="21" t="s">
        <v>607</v>
      </c>
      <c r="L478" s="5" t="s">
        <v>19</v>
      </c>
      <c r="M478" s="5" t="s">
        <v>19</v>
      </c>
      <c r="N478" s="5" t="str">
        <f>HYPERLINK("http://www.lghausys.co.kr/popup/rn/download/downloadPopup.jsp?from=plwindow&amp;uu=/upload/window/REPORT/LGH-TA17-012.pdf","2.0695")</f>
        <v>2.0695</v>
      </c>
      <c r="O478" s="5" t="s">
        <v>19</v>
      </c>
      <c r="P478" s="5" t="s">
        <v>19</v>
      </c>
      <c r="Q478" s="5" t="s">
        <v>19</v>
      </c>
      <c r="R478" s="5" t="s">
        <v>19</v>
      </c>
      <c r="S478" s="5" t="s">
        <v>19</v>
      </c>
      <c r="T478" s="5" t="s">
        <v>19</v>
      </c>
      <c r="U478" s="5" t="s">
        <v>19</v>
      </c>
      <c r="V478" s="5" t="s">
        <v>19</v>
      </c>
      <c r="W478" s="5" t="s">
        <v>75</v>
      </c>
      <c r="X478"/>
    </row>
    <row r="479" spans="1:24">
      <c r="A479" t="s">
        <v>173</v>
      </c>
      <c r="B479" t="s">
        <v>19</v>
      </c>
      <c r="C479" t="s">
        <v>34</v>
      </c>
      <c r="D479" t="s">
        <v>25</v>
      </c>
      <c r="E479" t="s">
        <v>19</v>
      </c>
      <c r="F479" t="s">
        <v>19</v>
      </c>
      <c r="G479" t="s">
        <v>19</v>
      </c>
      <c r="H479" t="s">
        <v>25</v>
      </c>
      <c r="I479" t="s">
        <v>19</v>
      </c>
      <c r="J479" t="s">
        <v>19</v>
      </c>
      <c r="K479" s="21" t="s">
        <v>607</v>
      </c>
      <c r="L479" s="5" t="s">
        <v>19</v>
      </c>
      <c r="M479" s="5" t="s">
        <v>19</v>
      </c>
      <c r="N479" s="5" t="str">
        <f>HYPERLINK("http://www.lghausys.co.kr/popup/rn/download/downloadPopup.jsp?from=plwindow&amp;uu=/upload/window/REPORT/LGH-TA17-013.pdf","1.3222")</f>
        <v>1.3222</v>
      </c>
      <c r="O479" s="5" t="s">
        <v>19</v>
      </c>
      <c r="P479" s="5" t="s">
        <v>19</v>
      </c>
      <c r="Q479" s="5" t="s">
        <v>19</v>
      </c>
      <c r="R479" s="5" t="s">
        <v>19</v>
      </c>
      <c r="S479" s="5" t="s">
        <v>19</v>
      </c>
      <c r="T479" s="5" t="s">
        <v>19</v>
      </c>
      <c r="U479" s="5" t="s">
        <v>19</v>
      </c>
      <c r="V479" s="5" t="s">
        <v>19</v>
      </c>
      <c r="W479" s="5" t="s">
        <v>75</v>
      </c>
      <c r="X479"/>
    </row>
    <row r="480" spans="1:24">
      <c r="A480" t="s">
        <v>173</v>
      </c>
      <c r="B480" t="s">
        <v>19</v>
      </c>
      <c r="C480" t="s">
        <v>34</v>
      </c>
      <c r="D480" t="s">
        <v>25</v>
      </c>
      <c r="E480" t="s">
        <v>19</v>
      </c>
      <c r="F480" t="s">
        <v>19</v>
      </c>
      <c r="G480" t="s">
        <v>19</v>
      </c>
      <c r="H480" t="s">
        <v>64</v>
      </c>
      <c r="I480" t="s">
        <v>19</v>
      </c>
      <c r="J480" t="s">
        <v>19</v>
      </c>
      <c r="K480" s="21" t="s">
        <v>607</v>
      </c>
      <c r="L480" s="5" t="s">
        <v>19</v>
      </c>
      <c r="M480" s="5" t="s">
        <v>19</v>
      </c>
      <c r="N480" s="5" t="str">
        <f>HYPERLINK("http://www.lghausys.co.kr/popup/rn/download/downloadPopup.jsp?from=plwindow&amp;uu=/upload/window/REPORT/LGH-TA17-014.pdf","1.0274")</f>
        <v>1.0274</v>
      </c>
      <c r="O480" s="5" t="s">
        <v>19</v>
      </c>
      <c r="P480" s="5" t="s">
        <v>19</v>
      </c>
      <c r="Q480" s="5" t="s">
        <v>19</v>
      </c>
      <c r="R480" s="5" t="s">
        <v>19</v>
      </c>
      <c r="S480" s="5" t="s">
        <v>19</v>
      </c>
      <c r="T480" s="5" t="s">
        <v>19</v>
      </c>
      <c r="U480" s="5" t="s">
        <v>19</v>
      </c>
      <c r="V480" s="5" t="s">
        <v>19</v>
      </c>
      <c r="W480" s="5" t="s">
        <v>75</v>
      </c>
      <c r="X480"/>
    </row>
    <row r="481" spans="1:24">
      <c r="A481" t="s">
        <v>174</v>
      </c>
      <c r="B481" t="s">
        <v>19</v>
      </c>
      <c r="C481" t="s">
        <v>34</v>
      </c>
      <c r="D481" t="s">
        <v>25</v>
      </c>
      <c r="E481" t="s">
        <v>19</v>
      </c>
      <c r="F481" t="s">
        <v>19</v>
      </c>
      <c r="G481" t="s">
        <v>19</v>
      </c>
      <c r="H481" t="s">
        <v>25</v>
      </c>
      <c r="I481" t="s">
        <v>19</v>
      </c>
      <c r="J481" t="s">
        <v>19</v>
      </c>
      <c r="K481" s="21" t="s">
        <v>607</v>
      </c>
      <c r="L481" s="5" t="s">
        <v>19</v>
      </c>
      <c r="M481" s="5" t="s">
        <v>19</v>
      </c>
      <c r="N481" s="5" t="str">
        <f>HYPERLINK("http://www.lghausys.co.kr/popup/rn/download/downloadPopup.jsp?from=plwindow&amp;uu=/upload/window/REPORT/LGH-TA17-015.pdf","1.3672")</f>
        <v>1.3672</v>
      </c>
      <c r="O481" s="5" t="s">
        <v>19</v>
      </c>
      <c r="P481" s="5" t="s">
        <v>19</v>
      </c>
      <c r="Q481" s="5" t="s">
        <v>19</v>
      </c>
      <c r="R481" s="5" t="s">
        <v>19</v>
      </c>
      <c r="S481" s="5" t="s">
        <v>19</v>
      </c>
      <c r="T481" s="5" t="s">
        <v>19</v>
      </c>
      <c r="U481" s="5" t="s">
        <v>19</v>
      </c>
      <c r="V481" s="5" t="s">
        <v>19</v>
      </c>
      <c r="W481" s="5" t="s">
        <v>75</v>
      </c>
      <c r="X481"/>
    </row>
    <row r="482" spans="1:24">
      <c r="A482" t="s">
        <v>174</v>
      </c>
      <c r="B482" t="s">
        <v>19</v>
      </c>
      <c r="C482" t="s">
        <v>34</v>
      </c>
      <c r="D482" t="s">
        <v>25</v>
      </c>
      <c r="E482" t="s">
        <v>19</v>
      </c>
      <c r="F482" t="s">
        <v>19</v>
      </c>
      <c r="G482" t="s">
        <v>19</v>
      </c>
      <c r="H482" t="s">
        <v>64</v>
      </c>
      <c r="I482" t="s">
        <v>19</v>
      </c>
      <c r="J482" t="s">
        <v>19</v>
      </c>
      <c r="K482" s="21" t="s">
        <v>607</v>
      </c>
      <c r="L482" s="5" t="s">
        <v>19</v>
      </c>
      <c r="M482" s="5" t="s">
        <v>19</v>
      </c>
      <c r="N482" s="5" t="str">
        <f>HYPERLINK("http://www.lghausys.co.kr/popup/rn/download/downloadPopup.jsp?from=plwindow&amp;uu=/upload/window/REPORT/LGH-TA17-016.pdf","1.0547")</f>
        <v>1.0547</v>
      </c>
      <c r="O482" s="5" t="s">
        <v>19</v>
      </c>
      <c r="P482" s="5" t="s">
        <v>19</v>
      </c>
      <c r="Q482" s="5" t="s">
        <v>19</v>
      </c>
      <c r="R482" s="5" t="s">
        <v>19</v>
      </c>
      <c r="S482" s="5" t="s">
        <v>19</v>
      </c>
      <c r="T482" s="5" t="s">
        <v>19</v>
      </c>
      <c r="U482" s="5" t="s">
        <v>19</v>
      </c>
      <c r="V482" s="5" t="s">
        <v>19</v>
      </c>
      <c r="W482" s="5" t="s">
        <v>75</v>
      </c>
      <c r="X482"/>
    </row>
    <row r="483" spans="1:24">
      <c r="A483" t="s">
        <v>61</v>
      </c>
      <c r="B483" t="s">
        <v>19</v>
      </c>
      <c r="C483" t="s">
        <v>20</v>
      </c>
      <c r="D483" t="s">
        <v>68</v>
      </c>
      <c r="E483" t="s">
        <v>19</v>
      </c>
      <c r="F483" t="s">
        <v>19</v>
      </c>
      <c r="G483" t="s">
        <v>19</v>
      </c>
      <c r="H483" t="s">
        <v>19</v>
      </c>
      <c r="I483" t="s">
        <v>19</v>
      </c>
      <c r="J483" t="s">
        <v>74</v>
      </c>
      <c r="K483" s="21" t="str">
        <f>IF(X483&lt;=0.9,HYPERLINK("http://www.lxhausys.co.kr/popup/rn/download/downloadPopup.jsp?from=plwindow&amp;uu=/upload/window/REPORT/LGH-TW17-016.pdf","1등급"),IF(X483&lt;=1.2,HYPERLINK("http://www.lxhausys.co.kr/popup/rn/download/downloadPopup.jsp?from=plwindow&amp;uu=/upload/window/REPORT/LGH-TW17-016.pdf","2등급"),IF(X483&lt;=1.8,HYPERLINK("http://www.lxhausys.co.kr/popup/rn/download/downloadPopup.jsp?from=plwindow&amp;uu=/upload/window/REPORT/LGH-TW17-016.pdf","3등급"),IF(X483&lt;=2.3,HYPERLINK("http://www.lxhausys.co.kr/popup/rn/download/downloadPopup.jsp?from=plwindow&amp;uu=/upload/window/REPORT/LGH-TW17-016.pdf","4등급"),IF(X483&lt;=2.8,HYPERLINK("http://www.lxhausys.co.kr/popup/rn/download/downloadPopup.jsp?from=plwindow&amp;uu=/upload/window/REPORT/LGH-TW17-016.pdf","5등급"),HYPERLINK("http://www.lxhausys.co.kr/popup/rn/download/downloadPopup.jsp?from=plwindow&amp;uu=/upload/window/REPORT/LGH-TW17-016.pdf","등급외"))))))</f>
        <v>5등급</v>
      </c>
      <c r="L483" s="5">
        <v>2.6831</v>
      </c>
      <c r="M483" s="5" t="s">
        <v>103</v>
      </c>
      <c r="N483" s="5" t="s">
        <v>607</v>
      </c>
      <c r="O483" s="5" t="s">
        <v>19</v>
      </c>
      <c r="P483" s="5" t="s">
        <v>19</v>
      </c>
      <c r="Q483" s="5" t="s">
        <v>19</v>
      </c>
      <c r="R483" s="5" t="s">
        <v>19</v>
      </c>
      <c r="S483" s="5" t="s">
        <v>19</v>
      </c>
      <c r="T483" s="5" t="s">
        <v>19</v>
      </c>
      <c r="U483" s="5" t="s">
        <v>19</v>
      </c>
      <c r="V483" s="5" t="s">
        <v>19</v>
      </c>
      <c r="W483" s="5" t="s">
        <v>19</v>
      </c>
      <c r="X483" s="19">
        <f>L483</f>
        <v>2.6831</v>
      </c>
    </row>
    <row r="484" spans="1:24">
      <c r="A484" t="s">
        <v>19</v>
      </c>
      <c r="B484" t="s">
        <v>90</v>
      </c>
      <c r="C484" t="s">
        <v>20</v>
      </c>
      <c r="D484" t="s">
        <v>89</v>
      </c>
      <c r="E484" t="s">
        <v>19</v>
      </c>
      <c r="F484" t="s">
        <v>19</v>
      </c>
      <c r="G484" t="s">
        <v>19</v>
      </c>
      <c r="H484" t="s">
        <v>32</v>
      </c>
      <c r="I484" t="s">
        <v>19</v>
      </c>
      <c r="J484" t="s">
        <v>97</v>
      </c>
      <c r="K484" s="21" t="str">
        <f>IF(X484&lt;=0.9,HYPERLINK("http://www.lxhausys.co.kr/popup/rn/download/downloadPopup.jsp?from=plwindow&amp;uu=/upload/window/REPORT/LGH-TW17-018.pdf","1등급"),IF(X484&lt;=1.2,HYPERLINK("http://www.lxhausys.co.kr/popup/rn/download/downloadPopup.jsp?from=plwindow&amp;uu=/upload/window/REPORT/LGH-TW17-018.pdf","2등급"),IF(X484&lt;=1.8,HYPERLINK("http://www.lxhausys.co.kr/popup/rn/download/downloadPopup.jsp?from=plwindow&amp;uu=/upload/window/REPORT/LGH-TW17-018.pdf","3등급"),IF(X484&lt;=2.3,HYPERLINK("http://www.lxhausys.co.kr/popup/rn/download/downloadPopup.jsp?from=plwindow&amp;uu=/upload/window/REPORT/LGH-TW17-018.pdf","4등급"),IF(X484&lt;=2.8,HYPERLINK("http://www.lxhausys.co.kr/popup/rn/download/downloadPopup.jsp?from=plwindow&amp;uu=/upload/window/REPORT/LGH-TW17-018.pdf","5등급"),HYPERLINK("http://www.lxhausys.co.kr/popup/rn/download/downloadPopup.jsp?from=plwindow&amp;uu=/upload/window/REPORT/LGH-TW17-018.pdf","등급외"))))))</f>
        <v>2등급</v>
      </c>
      <c r="L484" s="5">
        <v>1.0444</v>
      </c>
      <c r="M484" s="5" t="s">
        <v>22</v>
      </c>
      <c r="N484" s="5" t="s">
        <v>607</v>
      </c>
      <c r="O484" s="5" t="s">
        <v>19</v>
      </c>
      <c r="P484" s="5" t="s">
        <v>19</v>
      </c>
      <c r="Q484" s="5" t="s">
        <v>19</v>
      </c>
      <c r="R484" s="5" t="s">
        <v>19</v>
      </c>
      <c r="S484" s="5" t="s">
        <v>19</v>
      </c>
      <c r="T484" s="5" t="s">
        <v>19</v>
      </c>
      <c r="U484" s="5" t="s">
        <v>19</v>
      </c>
      <c r="V484" s="5" t="s">
        <v>19</v>
      </c>
      <c r="W484" s="5" t="s">
        <v>19</v>
      </c>
      <c r="X484" s="19">
        <f>L484</f>
        <v>1.0444</v>
      </c>
    </row>
    <row r="485" spans="1:24">
      <c r="A485" t="s">
        <v>175</v>
      </c>
      <c r="B485" t="s">
        <v>19</v>
      </c>
      <c r="C485" t="s">
        <v>20</v>
      </c>
      <c r="D485" t="s">
        <v>89</v>
      </c>
      <c r="E485" t="s">
        <v>19</v>
      </c>
      <c r="F485" t="s">
        <v>19</v>
      </c>
      <c r="G485" t="s">
        <v>19</v>
      </c>
      <c r="H485" t="s">
        <v>32</v>
      </c>
      <c r="I485" t="s">
        <v>19</v>
      </c>
      <c r="J485" t="s">
        <v>97</v>
      </c>
      <c r="K485" s="21" t="str">
        <f>IF(X485&lt;=0.9,HYPERLINK("http://www.lxhausys.co.kr/popup/rn/download/downloadPopup.jsp?from=plwindow&amp;uu=/upload/window/REPORT/LGH-TW17-019.pdf","1등급"),IF(X485&lt;=1.2,HYPERLINK("http://www.lxhausys.co.kr/popup/rn/download/downloadPopup.jsp?from=plwindow&amp;uu=/upload/window/REPORT/LGH-TW17-019.pdf","2등급"),IF(X485&lt;=1.8,HYPERLINK("http://www.lxhausys.co.kr/popup/rn/download/downloadPopup.jsp?from=plwindow&amp;uu=/upload/window/REPORT/LGH-TW17-019.pdf","3등급"),IF(X485&lt;=2.3,HYPERLINK("http://www.lxhausys.co.kr/popup/rn/download/downloadPopup.jsp?from=plwindow&amp;uu=/upload/window/REPORT/LGH-TW17-019.pdf","4등급"),IF(X485&lt;=2.8,HYPERLINK("http://www.lxhausys.co.kr/popup/rn/download/downloadPopup.jsp?from=plwindow&amp;uu=/upload/window/REPORT/LGH-TW17-019.pdf","5등급"),HYPERLINK("http://www.lxhausys.co.kr/popup/rn/download/downloadPopup.jsp?from=plwindow&amp;uu=/upload/window/REPORT/LGH-TW17-019.pdf","등급외"))))))</f>
        <v>2등급</v>
      </c>
      <c r="L485" s="5">
        <v>1.0914999999999999</v>
      </c>
      <c r="M485" s="5" t="s">
        <v>22</v>
      </c>
      <c r="N485" s="5" t="s">
        <v>607</v>
      </c>
      <c r="O485" s="5" t="s">
        <v>19</v>
      </c>
      <c r="P485" s="5" t="s">
        <v>19</v>
      </c>
      <c r="Q485" s="5" t="s">
        <v>19</v>
      </c>
      <c r="R485" s="5" t="s">
        <v>19</v>
      </c>
      <c r="S485" s="5" t="s">
        <v>19</v>
      </c>
      <c r="T485" s="5" t="s">
        <v>19</v>
      </c>
      <c r="U485" s="5" t="s">
        <v>19</v>
      </c>
      <c r="V485" s="5" t="s">
        <v>19</v>
      </c>
      <c r="W485" s="5" t="s">
        <v>19</v>
      </c>
      <c r="X485" s="19">
        <f>L485</f>
        <v>1.0914999999999999</v>
      </c>
    </row>
    <row r="486" spans="1:24">
      <c r="A486" t="s">
        <v>19</v>
      </c>
      <c r="B486" t="s">
        <v>48</v>
      </c>
      <c r="C486" t="s">
        <v>20</v>
      </c>
      <c r="D486" t="s">
        <v>89</v>
      </c>
      <c r="E486" t="s">
        <v>19</v>
      </c>
      <c r="F486" t="s">
        <v>19</v>
      </c>
      <c r="G486" t="s">
        <v>19</v>
      </c>
      <c r="H486" t="s">
        <v>32</v>
      </c>
      <c r="I486" t="s">
        <v>19</v>
      </c>
      <c r="J486" t="s">
        <v>74</v>
      </c>
      <c r="K486" s="21" t="str">
        <f>IF(X486&lt;=0.9,HYPERLINK("http://www.lxhausys.co.kr/popup/rn/download/downloadPopup.jsp?from=plwindow&amp;uu=/upload/window/REPORT/LGH-TW17-020.pdf","1등급"),IF(X486&lt;=1.2,HYPERLINK("http://www.lxhausys.co.kr/popup/rn/download/downloadPopup.jsp?from=plwindow&amp;uu=/upload/window/REPORT/LGH-TW17-020.pdf","2등급"),IF(X486&lt;=1.8,HYPERLINK("http://www.lxhausys.co.kr/popup/rn/download/downloadPopup.jsp?from=plwindow&amp;uu=/upload/window/REPORT/LGH-TW17-020.pdf","3등급"),IF(X486&lt;=2.3,HYPERLINK("http://www.lxhausys.co.kr/popup/rn/download/downloadPopup.jsp?from=plwindow&amp;uu=/upload/window/REPORT/LGH-TW17-020.pdf","4등급"),IF(X486&lt;=2.8,HYPERLINK("http://www.lxhausys.co.kr/popup/rn/download/downloadPopup.jsp?from=plwindow&amp;uu=/upload/window/REPORT/LGH-TW17-020.pdf","5등급"),HYPERLINK("http://www.lxhausys.co.kr/popup/rn/download/downloadPopup.jsp?from=plwindow&amp;uu=/upload/window/REPORT/LGH-TW17-020.pdf","등급외"))))))</f>
        <v>2등급</v>
      </c>
      <c r="L486" s="5">
        <v>1.0581</v>
      </c>
      <c r="M486" s="5" t="s">
        <v>22</v>
      </c>
      <c r="N486" s="5" t="s">
        <v>607</v>
      </c>
      <c r="O486" s="5" t="s">
        <v>19</v>
      </c>
      <c r="P486" s="5" t="s">
        <v>19</v>
      </c>
      <c r="Q486" s="5" t="s">
        <v>19</v>
      </c>
      <c r="R486" s="5" t="s">
        <v>19</v>
      </c>
      <c r="S486" s="5" t="s">
        <v>19</v>
      </c>
      <c r="T486" s="5" t="s">
        <v>19</v>
      </c>
      <c r="U486" s="5" t="s">
        <v>19</v>
      </c>
      <c r="V486" s="5" t="s">
        <v>19</v>
      </c>
      <c r="W486" s="5" t="s">
        <v>19</v>
      </c>
      <c r="X486" s="19">
        <f>L486</f>
        <v>1.0581</v>
      </c>
    </row>
    <row r="487" spans="1:24">
      <c r="A487" t="s">
        <v>52</v>
      </c>
      <c r="B487" t="s">
        <v>19</v>
      </c>
      <c r="C487" t="s">
        <v>34</v>
      </c>
      <c r="D487" t="s">
        <v>25</v>
      </c>
      <c r="E487" t="s">
        <v>19</v>
      </c>
      <c r="F487" t="s">
        <v>19</v>
      </c>
      <c r="G487" t="s">
        <v>19</v>
      </c>
      <c r="H487" t="s">
        <v>64</v>
      </c>
      <c r="I487" t="s">
        <v>19</v>
      </c>
      <c r="J487" t="s">
        <v>74</v>
      </c>
      <c r="K487" s="21" t="s">
        <v>607</v>
      </c>
      <c r="L487" s="5" t="s">
        <v>19</v>
      </c>
      <c r="M487" s="5" t="s">
        <v>19</v>
      </c>
      <c r="N487" s="5" t="str">
        <f>HYPERLINK("http://www.lghausys.co.kr/popup/rn/download/downloadPopup.jsp?from=plwindow&amp;uu=/upload/window/REPORT/LGH-TA17-026.pdf","1.0305")</f>
        <v>1.0305</v>
      </c>
      <c r="O487" s="5" t="s">
        <v>19</v>
      </c>
      <c r="P487" s="5" t="s">
        <v>19</v>
      </c>
      <c r="Q487" s="5" t="s">
        <v>19</v>
      </c>
      <c r="R487" s="5" t="s">
        <v>19</v>
      </c>
      <c r="S487" s="5" t="s">
        <v>19</v>
      </c>
      <c r="T487" s="5" t="s">
        <v>19</v>
      </c>
      <c r="U487" s="5" t="s">
        <v>19</v>
      </c>
      <c r="V487" s="5" t="s">
        <v>19</v>
      </c>
      <c r="W487" s="5" t="s">
        <v>75</v>
      </c>
      <c r="X487"/>
    </row>
    <row r="488" spans="1:24">
      <c r="A488" t="s">
        <v>42</v>
      </c>
      <c r="B488" t="s">
        <v>43</v>
      </c>
      <c r="C488" t="s">
        <v>34</v>
      </c>
      <c r="D488" t="s">
        <v>126</v>
      </c>
      <c r="E488" t="s">
        <v>19</v>
      </c>
      <c r="F488" t="s">
        <v>19</v>
      </c>
      <c r="G488" t="s">
        <v>19</v>
      </c>
      <c r="H488" t="s">
        <v>19</v>
      </c>
      <c r="I488" t="s">
        <v>19</v>
      </c>
      <c r="J488" t="s">
        <v>97</v>
      </c>
      <c r="K488" s="21" t="s">
        <v>607</v>
      </c>
      <c r="L488" s="5" t="s">
        <v>19</v>
      </c>
      <c r="M488" s="5" t="s">
        <v>19</v>
      </c>
      <c r="N488" s="5" t="str">
        <f>HYPERLINK("http://www.lghausys.co.kr/popup/rn/download/downloadPopup.jsp?from=plwindow&amp;uu=/upload/window/REPORT/LGH-TA17-029.pdf","1.6178")</f>
        <v>1.6178</v>
      </c>
      <c r="O488" s="5" t="s">
        <v>19</v>
      </c>
      <c r="P488" s="5" t="s">
        <v>19</v>
      </c>
      <c r="Q488" s="5" t="s">
        <v>19</v>
      </c>
      <c r="R488" s="5" t="s">
        <v>19</v>
      </c>
      <c r="S488" s="5" t="s">
        <v>19</v>
      </c>
      <c r="T488" s="5" t="s">
        <v>19</v>
      </c>
      <c r="U488" s="5" t="s">
        <v>19</v>
      </c>
      <c r="V488" s="5" t="s">
        <v>19</v>
      </c>
      <c r="W488" s="5" t="s">
        <v>75</v>
      </c>
      <c r="X488"/>
    </row>
    <row r="489" spans="1:24">
      <c r="A489" t="s">
        <v>125</v>
      </c>
      <c r="B489" t="s">
        <v>19</v>
      </c>
      <c r="C489" t="s">
        <v>20</v>
      </c>
      <c r="D489" t="s">
        <v>68</v>
      </c>
      <c r="E489" t="s">
        <v>19</v>
      </c>
      <c r="F489" t="s">
        <v>19</v>
      </c>
      <c r="G489" t="s">
        <v>19</v>
      </c>
      <c r="H489" t="s">
        <v>19</v>
      </c>
      <c r="I489" t="s">
        <v>19</v>
      </c>
      <c r="J489" t="s">
        <v>74</v>
      </c>
      <c r="K489" s="21" t="str">
        <f>IF(X489&lt;=0.9,HYPERLINK("http://www.lxhausys.co.kr/popup/rn/download/downloadPopup.jsp?from=plwindow&amp;uu=/upload/window/REPORT/LGH-TW17-022.pdf","1등급"),IF(X489&lt;=1.2,HYPERLINK("http://www.lxhausys.co.kr/popup/rn/download/downloadPopup.jsp?from=plwindow&amp;uu=/upload/window/REPORT/LGH-TW17-022.pdf","2등급"),IF(X489&lt;=1.8,HYPERLINK("http://www.lxhausys.co.kr/popup/rn/download/downloadPopup.jsp?from=plwindow&amp;uu=/upload/window/REPORT/LGH-TW17-022.pdf","3등급"),IF(X489&lt;=2.3,HYPERLINK("http://www.lxhausys.co.kr/popup/rn/download/downloadPopup.jsp?from=plwindow&amp;uu=/upload/window/REPORT/LGH-TW17-022.pdf","4등급"),IF(X489&lt;=2.8,HYPERLINK("http://www.lxhausys.co.kr/popup/rn/download/downloadPopup.jsp?from=plwindow&amp;uu=/upload/window/REPORT/LGH-TW17-022.pdf","5등급"),HYPERLINK("http://www.lxhausys.co.kr/popup/rn/download/downloadPopup.jsp?from=plwindow&amp;uu=/upload/window/REPORT/LGH-TW17-022.pdf","등급외"))))))</f>
        <v>5등급</v>
      </c>
      <c r="L489" s="5">
        <v>2.6000999999999999</v>
      </c>
      <c r="M489" s="5" t="s">
        <v>103</v>
      </c>
      <c r="N489" s="5" t="s">
        <v>607</v>
      </c>
      <c r="O489" s="5" t="s">
        <v>19</v>
      </c>
      <c r="P489" s="5" t="s">
        <v>19</v>
      </c>
      <c r="Q489" s="5" t="s">
        <v>19</v>
      </c>
      <c r="R489" s="5" t="s">
        <v>19</v>
      </c>
      <c r="S489" s="5" t="s">
        <v>19</v>
      </c>
      <c r="T489" s="5" t="s">
        <v>19</v>
      </c>
      <c r="U489" s="5" t="s">
        <v>19</v>
      </c>
      <c r="V489" s="5" t="s">
        <v>19</v>
      </c>
      <c r="W489" s="5" t="s">
        <v>19</v>
      </c>
      <c r="X489" s="19">
        <f>L489</f>
        <v>2.6000999999999999</v>
      </c>
    </row>
    <row r="490" spans="1:24">
      <c r="A490" t="s">
        <v>73</v>
      </c>
      <c r="B490" t="s">
        <v>19</v>
      </c>
      <c r="C490" t="s">
        <v>20</v>
      </c>
      <c r="D490" t="s">
        <v>25</v>
      </c>
      <c r="E490" t="s">
        <v>19</v>
      </c>
      <c r="F490" t="s">
        <v>19</v>
      </c>
      <c r="G490" t="s">
        <v>19</v>
      </c>
      <c r="H490" t="s">
        <v>28</v>
      </c>
      <c r="I490" t="s">
        <v>19</v>
      </c>
      <c r="J490" t="s">
        <v>74</v>
      </c>
      <c r="K490" s="21" t="str">
        <f>IF(X490&lt;=0.9,HYPERLINK("http://www.lxhausys.co.kr/popup/rn/download/downloadPopup.jsp?from=plwindow&amp;uu=/upload/window/REPORT/LGH-TW17-023.pdf","1등급"),IF(X490&lt;=1.2,HYPERLINK("http://www.lxhausys.co.kr/popup/rn/download/downloadPopup.jsp?from=plwindow&amp;uu=/upload/window/REPORT/LGH-TW17-023.pdf","2등급"),IF(X490&lt;=1.8,HYPERLINK("http://www.lxhausys.co.kr/popup/rn/download/downloadPopup.jsp?from=plwindow&amp;uu=/upload/window/REPORT/LGH-TW17-023.pdf","3등급"),IF(X490&lt;=2.3,HYPERLINK("http://www.lxhausys.co.kr/popup/rn/download/downloadPopup.jsp?from=plwindow&amp;uu=/upload/window/REPORT/LGH-TW17-023.pdf","4등급"),IF(X490&lt;=2.8,HYPERLINK("http://www.lxhausys.co.kr/popup/rn/download/downloadPopup.jsp?from=plwindow&amp;uu=/upload/window/REPORT/LGH-TW17-023.pdf","5등급"),HYPERLINK("http://www.lxhausys.co.kr/popup/rn/download/downloadPopup.jsp?from=plwindow&amp;uu=/upload/window/REPORT/LGH-TW17-023.pdf","등급외"))))))</f>
        <v>2등급</v>
      </c>
      <c r="L490" s="5">
        <v>1.1376999999999999</v>
      </c>
      <c r="M490" s="5" t="s">
        <v>22</v>
      </c>
      <c r="N490" s="5" t="s">
        <v>607</v>
      </c>
      <c r="O490" s="5" t="s">
        <v>19</v>
      </c>
      <c r="P490" s="5" t="s">
        <v>19</v>
      </c>
      <c r="Q490" s="5" t="s">
        <v>19</v>
      </c>
      <c r="R490" s="5" t="s">
        <v>19</v>
      </c>
      <c r="S490" s="5" t="s">
        <v>19</v>
      </c>
      <c r="T490" s="5" t="s">
        <v>19</v>
      </c>
      <c r="U490" s="5" t="s">
        <v>19</v>
      </c>
      <c r="V490" s="5" t="s">
        <v>19</v>
      </c>
      <c r="W490" s="5" t="s">
        <v>19</v>
      </c>
      <c r="X490" s="19">
        <f>L490</f>
        <v>1.1376999999999999</v>
      </c>
    </row>
    <row r="491" spans="1:24">
      <c r="A491" t="s">
        <v>73</v>
      </c>
      <c r="B491" t="s">
        <v>19</v>
      </c>
      <c r="C491" t="s">
        <v>20</v>
      </c>
      <c r="D491" t="s">
        <v>28</v>
      </c>
      <c r="E491" t="s">
        <v>19</v>
      </c>
      <c r="F491" t="s">
        <v>19</v>
      </c>
      <c r="G491" t="s">
        <v>19</v>
      </c>
      <c r="H491" t="s">
        <v>25</v>
      </c>
      <c r="I491" t="s">
        <v>19</v>
      </c>
      <c r="J491" t="s">
        <v>74</v>
      </c>
      <c r="K491" s="21" t="str">
        <f>IF(X491&lt;=0.9,HYPERLINK("http://www.lxhausys.co.kr/popup/rn/download/downloadPopup.jsp?from=plwindow&amp;uu=/upload/window/REPORT/LGH-TW17-024.pdf","1등급"),IF(X491&lt;=1.2,HYPERLINK("http://www.lxhausys.co.kr/popup/rn/download/downloadPopup.jsp?from=plwindow&amp;uu=/upload/window/REPORT/LGH-TW17-024.pdf","2등급"),IF(X491&lt;=1.8,HYPERLINK("http://www.lxhausys.co.kr/popup/rn/download/downloadPopup.jsp?from=plwindow&amp;uu=/upload/window/REPORT/LGH-TW17-024.pdf","3등급"),IF(X491&lt;=2.3,HYPERLINK("http://www.lxhausys.co.kr/popup/rn/download/downloadPopup.jsp?from=plwindow&amp;uu=/upload/window/REPORT/LGH-TW17-024.pdf","4등급"),IF(X491&lt;=2.8,HYPERLINK("http://www.lxhausys.co.kr/popup/rn/download/downloadPopup.jsp?from=plwindow&amp;uu=/upload/window/REPORT/LGH-TW17-024.pdf","5등급"),HYPERLINK("http://www.lxhausys.co.kr/popup/rn/download/downloadPopup.jsp?from=plwindow&amp;uu=/upload/window/REPORT/LGH-TW17-024.pdf","등급외"))))))</f>
        <v>2등급</v>
      </c>
      <c r="L491" s="5">
        <v>1.1437999999999999</v>
      </c>
      <c r="M491" s="5" t="s">
        <v>22</v>
      </c>
      <c r="N491" s="5" t="s">
        <v>607</v>
      </c>
      <c r="O491" s="5" t="s">
        <v>19</v>
      </c>
      <c r="P491" s="5" t="s">
        <v>19</v>
      </c>
      <c r="Q491" s="5" t="s">
        <v>19</v>
      </c>
      <c r="R491" s="5" t="s">
        <v>19</v>
      </c>
      <c r="S491" s="5" t="s">
        <v>19</v>
      </c>
      <c r="T491" s="5" t="s">
        <v>19</v>
      </c>
      <c r="U491" s="5" t="s">
        <v>19</v>
      </c>
      <c r="V491" s="5" t="s">
        <v>19</v>
      </c>
      <c r="W491" s="5" t="s">
        <v>19</v>
      </c>
      <c r="X491" s="19">
        <f>L491</f>
        <v>1.1437999999999999</v>
      </c>
    </row>
    <row r="492" spans="1:24">
      <c r="A492" t="s">
        <v>73</v>
      </c>
      <c r="B492" t="s">
        <v>19</v>
      </c>
      <c r="C492" t="s">
        <v>34</v>
      </c>
      <c r="D492" t="s">
        <v>28</v>
      </c>
      <c r="E492" t="s">
        <v>19</v>
      </c>
      <c r="F492" t="s">
        <v>19</v>
      </c>
      <c r="G492" t="s">
        <v>19</v>
      </c>
      <c r="H492" t="s">
        <v>25</v>
      </c>
      <c r="I492" t="s">
        <v>19</v>
      </c>
      <c r="J492" t="s">
        <v>99</v>
      </c>
      <c r="K492" s="21" t="s">
        <v>607</v>
      </c>
      <c r="L492" s="5" t="s">
        <v>19</v>
      </c>
      <c r="M492" s="5" t="s">
        <v>19</v>
      </c>
      <c r="N492" s="5" t="str">
        <f>HYPERLINK("http://www.lghausys.co.kr/popup/rn/download/downloadPopup.jsp?from=plwindow&amp;uu=/upload/window/REPORT/LGH-TA17-034.pdf","1.1235")</f>
        <v>1.1235</v>
      </c>
      <c r="O492" s="5" t="s">
        <v>19</v>
      </c>
      <c r="P492" s="5" t="s">
        <v>19</v>
      </c>
      <c r="Q492" s="5" t="s">
        <v>19</v>
      </c>
      <c r="R492" s="5" t="s">
        <v>19</v>
      </c>
      <c r="S492" s="5" t="s">
        <v>19</v>
      </c>
      <c r="T492" s="5" t="s">
        <v>19</v>
      </c>
      <c r="U492" s="5" t="s">
        <v>19</v>
      </c>
      <c r="V492" s="5" t="s">
        <v>19</v>
      </c>
      <c r="W492" s="5" t="s">
        <v>75</v>
      </c>
      <c r="X492"/>
    </row>
    <row r="493" spans="1:24">
      <c r="A493" t="s">
        <v>133</v>
      </c>
      <c r="B493" t="s">
        <v>19</v>
      </c>
      <c r="C493" t="s">
        <v>20</v>
      </c>
      <c r="D493" t="s">
        <v>25</v>
      </c>
      <c r="E493" t="s">
        <v>87</v>
      </c>
      <c r="F493" t="s">
        <v>19</v>
      </c>
      <c r="G493" t="s">
        <v>19</v>
      </c>
      <c r="H493" t="s">
        <v>28</v>
      </c>
      <c r="I493" t="s">
        <v>19</v>
      </c>
      <c r="J493" t="s">
        <v>145</v>
      </c>
      <c r="K493" s="21" t="str">
        <f>IF(X493&lt;=0.9,HYPERLINK("http://www.lxhausys.co.kr/popup/rn/download/downloadPopup.jsp?from=plwindow&amp;uu=/upload/window/REPORT/LGH-TW17-026.pdf","1등급"),IF(X493&lt;=1.2,HYPERLINK("http://www.lxhausys.co.kr/popup/rn/download/downloadPopup.jsp?from=plwindow&amp;uu=/upload/window/REPORT/LGH-TW17-026.pdf","2등급"),IF(X493&lt;=1.8,HYPERLINK("http://www.lxhausys.co.kr/popup/rn/download/downloadPopup.jsp?from=plwindow&amp;uu=/upload/window/REPORT/LGH-TW17-026.pdf","3등급"),IF(X493&lt;=2.3,HYPERLINK("http://www.lxhausys.co.kr/popup/rn/download/downloadPopup.jsp?from=plwindow&amp;uu=/upload/window/REPORT/LGH-TW17-026.pdf","4등급"),IF(X493&lt;=2.8,HYPERLINK("http://www.lxhausys.co.kr/popup/rn/download/downloadPopup.jsp?from=plwindow&amp;uu=/upload/window/REPORT/LGH-TW17-026.pdf","5등급"),HYPERLINK("http://www.lxhausys.co.kr/popup/rn/download/downloadPopup.jsp?from=plwindow&amp;uu=/upload/window/REPORT/LGH-TW17-026.pdf","등급외"))))))</f>
        <v>2등급</v>
      </c>
      <c r="L493" s="5">
        <v>1.0664</v>
      </c>
      <c r="M493" s="5" t="s">
        <v>22</v>
      </c>
      <c r="N493" s="5" t="s">
        <v>607</v>
      </c>
      <c r="O493" s="5" t="s">
        <v>19</v>
      </c>
      <c r="P493" s="5" t="s">
        <v>19</v>
      </c>
      <c r="Q493" s="5" t="s">
        <v>19</v>
      </c>
      <c r="R493" s="5" t="s">
        <v>19</v>
      </c>
      <c r="S493" s="5" t="s">
        <v>19</v>
      </c>
      <c r="T493" s="5" t="s">
        <v>19</v>
      </c>
      <c r="U493" s="5" t="s">
        <v>19</v>
      </c>
      <c r="V493" s="5" t="s">
        <v>19</v>
      </c>
      <c r="W493" s="5" t="s">
        <v>19</v>
      </c>
      <c r="X493" s="19">
        <f>L493</f>
        <v>1.0664</v>
      </c>
    </row>
    <row r="494" spans="1:24">
      <c r="A494" t="s">
        <v>42</v>
      </c>
      <c r="B494" t="s">
        <v>43</v>
      </c>
      <c r="C494" t="s">
        <v>31</v>
      </c>
      <c r="D494" t="s">
        <v>21</v>
      </c>
      <c r="E494" t="s">
        <v>19</v>
      </c>
      <c r="F494" t="s">
        <v>19</v>
      </c>
      <c r="G494" t="s">
        <v>19</v>
      </c>
      <c r="H494" t="s">
        <v>19</v>
      </c>
      <c r="I494" t="s">
        <v>19</v>
      </c>
      <c r="J494" t="s">
        <v>74</v>
      </c>
      <c r="K494" s="21" t="s">
        <v>607</v>
      </c>
      <c r="L494" s="5" t="s">
        <v>19</v>
      </c>
      <c r="M494" s="5" t="s">
        <v>19</v>
      </c>
      <c r="N494" s="5" t="s">
        <v>19</v>
      </c>
      <c r="O494" s="5" t="str">
        <f>HYPERLINK("http://www.lghausys.co.kr/popup/rn/download/downloadPopup.jsp?from=plwindow&amp;uu=/upload/window/REPORT/LGH-WA17-025.pdf","1등급")</f>
        <v>1등급</v>
      </c>
      <c r="P494" s="5" t="s">
        <v>19</v>
      </c>
      <c r="Q494" s="5" t="s">
        <v>19</v>
      </c>
      <c r="R494" s="5" t="s">
        <v>19</v>
      </c>
      <c r="S494" s="5" t="s">
        <v>19</v>
      </c>
      <c r="T494" s="5" t="s">
        <v>19</v>
      </c>
      <c r="U494" s="5" t="s">
        <v>19</v>
      </c>
      <c r="V494" s="5" t="s">
        <v>19</v>
      </c>
      <c r="W494" s="5" t="s">
        <v>152</v>
      </c>
      <c r="X494"/>
    </row>
    <row r="495" spans="1:24">
      <c r="A495" t="s">
        <v>176</v>
      </c>
      <c r="B495" t="s">
        <v>19</v>
      </c>
      <c r="C495" t="s">
        <v>34</v>
      </c>
      <c r="D495" t="s">
        <v>25</v>
      </c>
      <c r="E495" t="s">
        <v>177</v>
      </c>
      <c r="F495" t="s">
        <v>19</v>
      </c>
      <c r="G495" t="s">
        <v>19</v>
      </c>
      <c r="H495" t="s">
        <v>25</v>
      </c>
      <c r="I495" t="s">
        <v>19</v>
      </c>
      <c r="J495" t="s">
        <v>99</v>
      </c>
      <c r="K495" s="21" t="s">
        <v>607</v>
      </c>
      <c r="L495" s="5" t="s">
        <v>19</v>
      </c>
      <c r="M495" s="5" t="s">
        <v>19</v>
      </c>
      <c r="N495" s="5" t="str">
        <f>HYPERLINK("http://www.lghausys.co.kr/popup/rn/download/downloadPopup.jsp?from=plwindow&amp;uu=/upload/window/REPORT/LGH-TA17-043.pdf","1.2796")</f>
        <v>1.2796</v>
      </c>
      <c r="O495" s="5" t="s">
        <v>19</v>
      </c>
      <c r="P495" s="5" t="s">
        <v>19</v>
      </c>
      <c r="Q495" s="5" t="s">
        <v>19</v>
      </c>
      <c r="R495" s="5" t="s">
        <v>19</v>
      </c>
      <c r="S495" s="5" t="s">
        <v>19</v>
      </c>
      <c r="T495" s="5" t="s">
        <v>19</v>
      </c>
      <c r="U495" s="5" t="s">
        <v>19</v>
      </c>
      <c r="V495" s="5" t="s">
        <v>19</v>
      </c>
      <c r="W495" s="5" t="s">
        <v>75</v>
      </c>
      <c r="X495"/>
    </row>
    <row r="496" spans="1:24">
      <c r="A496" t="s">
        <v>133</v>
      </c>
      <c r="B496" t="s">
        <v>19</v>
      </c>
      <c r="C496" t="s">
        <v>34</v>
      </c>
      <c r="D496" t="s">
        <v>25</v>
      </c>
      <c r="E496" t="s">
        <v>178</v>
      </c>
      <c r="F496" t="s">
        <v>19</v>
      </c>
      <c r="G496" t="s">
        <v>19</v>
      </c>
      <c r="H496" t="s">
        <v>25</v>
      </c>
      <c r="I496" t="s">
        <v>19</v>
      </c>
      <c r="J496" t="s">
        <v>99</v>
      </c>
      <c r="K496" s="21" t="s">
        <v>607</v>
      </c>
      <c r="L496" s="5" t="s">
        <v>19</v>
      </c>
      <c r="M496" s="5" t="s">
        <v>19</v>
      </c>
      <c r="N496" s="5" t="str">
        <f>HYPERLINK("http://www.lghausys.co.kr/popup/rn/download/downloadPopup.jsp?from=plwindow&amp;uu=/upload/window/REPORT/LGH-TA17-047.pdf","1.267")</f>
        <v>1.267</v>
      </c>
      <c r="O496" s="5" t="s">
        <v>19</v>
      </c>
      <c r="P496" s="5" t="s">
        <v>19</v>
      </c>
      <c r="Q496" s="5" t="s">
        <v>19</v>
      </c>
      <c r="R496" s="5" t="s">
        <v>19</v>
      </c>
      <c r="S496" s="5" t="s">
        <v>19</v>
      </c>
      <c r="T496" s="5" t="s">
        <v>19</v>
      </c>
      <c r="U496" s="5" t="s">
        <v>19</v>
      </c>
      <c r="V496" s="5" t="s">
        <v>19</v>
      </c>
      <c r="W496" s="5" t="s">
        <v>75</v>
      </c>
      <c r="X496"/>
    </row>
    <row r="497" spans="1:24">
      <c r="A497" t="s">
        <v>133</v>
      </c>
      <c r="B497" t="s">
        <v>19</v>
      </c>
      <c r="C497" t="s">
        <v>34</v>
      </c>
      <c r="D497" t="s">
        <v>25</v>
      </c>
      <c r="E497" t="s">
        <v>178</v>
      </c>
      <c r="F497" t="s">
        <v>19</v>
      </c>
      <c r="G497" t="s">
        <v>19</v>
      </c>
      <c r="H497" t="s">
        <v>28</v>
      </c>
      <c r="I497" t="s">
        <v>19</v>
      </c>
      <c r="J497" t="s">
        <v>99</v>
      </c>
      <c r="K497" s="21" t="s">
        <v>607</v>
      </c>
      <c r="L497" s="5" t="s">
        <v>19</v>
      </c>
      <c r="M497" s="5" t="s">
        <v>19</v>
      </c>
      <c r="N497" s="5" t="str">
        <f>HYPERLINK("http://www.lghausys.co.kr/popup/rn/download/downloadPopup.jsp?from=plwindow&amp;uu=/upload/window/REPORT/LGH-TA17-048.pdf","1.0638")</f>
        <v>1.0638</v>
      </c>
      <c r="O497" s="5" t="s">
        <v>19</v>
      </c>
      <c r="P497" s="5" t="s">
        <v>19</v>
      </c>
      <c r="Q497" s="5" t="s">
        <v>19</v>
      </c>
      <c r="R497" s="5" t="s">
        <v>19</v>
      </c>
      <c r="S497" s="5" t="s">
        <v>19</v>
      </c>
      <c r="T497" s="5" t="s">
        <v>19</v>
      </c>
      <c r="U497" s="5" t="s">
        <v>19</v>
      </c>
      <c r="V497" s="5" t="s">
        <v>19</v>
      </c>
      <c r="W497" s="5" t="s">
        <v>75</v>
      </c>
      <c r="X497"/>
    </row>
    <row r="498" spans="1:24">
      <c r="A498" t="s">
        <v>175</v>
      </c>
      <c r="B498" t="s">
        <v>19</v>
      </c>
      <c r="C498" t="s">
        <v>20</v>
      </c>
      <c r="D498" t="s">
        <v>68</v>
      </c>
      <c r="E498" t="s">
        <v>19</v>
      </c>
      <c r="F498" t="s">
        <v>19</v>
      </c>
      <c r="G498" t="s">
        <v>19</v>
      </c>
      <c r="H498" t="s">
        <v>102</v>
      </c>
      <c r="I498" t="s">
        <v>19</v>
      </c>
      <c r="J498" t="s">
        <v>74</v>
      </c>
      <c r="K498" s="21" t="str">
        <f>IF(X498&lt;=0.9,HYPERLINK("http://www.lxhausys.co.kr/popup/rn/download/downloadPopup.jsp?from=plwindow&amp;uu=/upload/window/REPORT/LGH-TW17-031.pdf","1등급"),IF(X498&lt;=1.2,HYPERLINK("http://www.lxhausys.co.kr/popup/rn/download/downloadPopup.jsp?from=plwindow&amp;uu=/upload/window/REPORT/LGH-TW17-031.pdf","2등급"),IF(X498&lt;=1.8,HYPERLINK("http://www.lxhausys.co.kr/popup/rn/download/downloadPopup.jsp?from=plwindow&amp;uu=/upload/window/REPORT/LGH-TW17-031.pdf","3등급"),IF(X498&lt;=2.3,HYPERLINK("http://www.lxhausys.co.kr/popup/rn/download/downloadPopup.jsp?from=plwindow&amp;uu=/upload/window/REPORT/LGH-TW17-031.pdf","4등급"),IF(X498&lt;=2.8,HYPERLINK("http://www.lxhausys.co.kr/popup/rn/download/downloadPopup.jsp?from=plwindow&amp;uu=/upload/window/REPORT/LGH-TW17-031.pdf","5등급"),HYPERLINK("http://www.lxhausys.co.kr/popup/rn/download/downloadPopup.jsp?from=plwindow&amp;uu=/upload/window/REPORT/LGH-TW17-031.pdf","등급외"))))))</f>
        <v>2등급</v>
      </c>
      <c r="L498" s="5">
        <v>0.94099999999999995</v>
      </c>
      <c r="M498" s="5" t="s">
        <v>22</v>
      </c>
      <c r="N498" s="5" t="s">
        <v>607</v>
      </c>
      <c r="O498" s="5" t="s">
        <v>19</v>
      </c>
      <c r="P498" s="5" t="s">
        <v>19</v>
      </c>
      <c r="Q498" s="5" t="s">
        <v>19</v>
      </c>
      <c r="R498" s="5" t="s">
        <v>19</v>
      </c>
      <c r="S498" s="5" t="s">
        <v>19</v>
      </c>
      <c r="T498" s="5" t="s">
        <v>19</v>
      </c>
      <c r="U498" s="5" t="s">
        <v>19</v>
      </c>
      <c r="V498" s="5" t="s">
        <v>19</v>
      </c>
      <c r="W498" s="5" t="s">
        <v>19</v>
      </c>
      <c r="X498" s="19">
        <f>L498</f>
        <v>0.94099999999999995</v>
      </c>
    </row>
    <row r="499" spans="1:24">
      <c r="A499" t="s">
        <v>175</v>
      </c>
      <c r="B499" t="s">
        <v>19</v>
      </c>
      <c r="C499" t="s">
        <v>20</v>
      </c>
      <c r="D499" t="s">
        <v>68</v>
      </c>
      <c r="E499" t="s">
        <v>19</v>
      </c>
      <c r="F499" t="s">
        <v>19</v>
      </c>
      <c r="G499" t="s">
        <v>19</v>
      </c>
      <c r="H499" t="s">
        <v>68</v>
      </c>
      <c r="I499" t="s">
        <v>19</v>
      </c>
      <c r="J499" t="s">
        <v>74</v>
      </c>
      <c r="K499" s="21" t="str">
        <f>IF(X499&lt;=0.9,HYPERLINK("http://www.lxhausys.co.kr/popup/rn/download/downloadPopup.jsp?from=plwindow&amp;uu=/upload/window/REPORT/LGH-TW17-032.pdf","1등급"),IF(X499&lt;=1.2,HYPERLINK("http://www.lxhausys.co.kr/popup/rn/download/downloadPopup.jsp?from=plwindow&amp;uu=/upload/window/REPORT/LGH-TW17-032.pdf","2등급"),IF(X499&lt;=1.8,HYPERLINK("http://www.lxhausys.co.kr/popup/rn/download/downloadPopup.jsp?from=plwindow&amp;uu=/upload/window/REPORT/LGH-TW17-032.pdf","3등급"),IF(X499&lt;=2.3,HYPERLINK("http://www.lxhausys.co.kr/popup/rn/download/downloadPopup.jsp?from=plwindow&amp;uu=/upload/window/REPORT/LGH-TW17-032.pdf","4등급"),IF(X499&lt;=2.8,HYPERLINK("http://www.lxhausys.co.kr/popup/rn/download/downloadPopup.jsp?from=plwindow&amp;uu=/upload/window/REPORT/LGH-TW17-032.pdf","5등급"),HYPERLINK("http://www.lxhausys.co.kr/popup/rn/download/downloadPopup.jsp?from=plwindow&amp;uu=/upload/window/REPORT/LGH-TW17-032.pdf","등급외"))))))</f>
        <v>3등급</v>
      </c>
      <c r="L499" s="5">
        <v>1.2333000000000001</v>
      </c>
      <c r="M499" s="5" t="s">
        <v>22</v>
      </c>
      <c r="N499" s="5" t="s">
        <v>607</v>
      </c>
      <c r="O499" s="5" t="s">
        <v>19</v>
      </c>
      <c r="P499" s="5" t="s">
        <v>19</v>
      </c>
      <c r="Q499" s="5" t="s">
        <v>19</v>
      </c>
      <c r="R499" s="5" t="s">
        <v>19</v>
      </c>
      <c r="S499" s="5" t="s">
        <v>19</v>
      </c>
      <c r="T499" s="5" t="s">
        <v>19</v>
      </c>
      <c r="U499" s="5" t="s">
        <v>19</v>
      </c>
      <c r="V499" s="5" t="s">
        <v>19</v>
      </c>
      <c r="W499" s="5" t="s">
        <v>19</v>
      </c>
      <c r="X499" s="19">
        <f>L499</f>
        <v>1.2333000000000001</v>
      </c>
    </row>
    <row r="500" spans="1:24">
      <c r="A500" t="s">
        <v>52</v>
      </c>
      <c r="B500" t="s">
        <v>19</v>
      </c>
      <c r="C500" t="s">
        <v>15</v>
      </c>
      <c r="D500" t="s">
        <v>25</v>
      </c>
      <c r="E500" t="s">
        <v>19</v>
      </c>
      <c r="F500" t="s">
        <v>19</v>
      </c>
      <c r="G500" t="s">
        <v>19</v>
      </c>
      <c r="H500" t="s">
        <v>28</v>
      </c>
      <c r="I500" t="s">
        <v>19</v>
      </c>
      <c r="J500" t="s">
        <v>19</v>
      </c>
      <c r="K500" s="21" t="s">
        <v>607</v>
      </c>
      <c r="L500" s="5" t="s">
        <v>19</v>
      </c>
      <c r="M500" s="5" t="s">
        <v>19</v>
      </c>
      <c r="N500" s="5" t="s">
        <v>19</v>
      </c>
      <c r="O500" s="5" t="s">
        <v>19</v>
      </c>
      <c r="P500" s="5" t="s">
        <v>19</v>
      </c>
      <c r="Q500" s="5" t="s">
        <v>19</v>
      </c>
      <c r="R500" s="5" t="s">
        <v>19</v>
      </c>
      <c r="S500" s="5" t="s">
        <v>19</v>
      </c>
      <c r="T500" s="5" t="s">
        <v>19</v>
      </c>
      <c r="U500" s="5" t="str">
        <f>HYPERLINK("http://www.lghausys.co.kr/popup/rn/download/downloadPopup.jsp?from=plwindow&amp;uu=/upload/window/REPORT/LGH-DA17-005.pdf","결로발생없음")</f>
        <v>결로발생없음</v>
      </c>
      <c r="V500" s="5" t="s">
        <v>19</v>
      </c>
      <c r="W500" s="5" t="s">
        <v>75</v>
      </c>
      <c r="X500"/>
    </row>
    <row r="501" spans="1:24">
      <c r="A501" t="s">
        <v>133</v>
      </c>
      <c r="B501" t="s">
        <v>19</v>
      </c>
      <c r="C501" t="s">
        <v>15</v>
      </c>
      <c r="D501" t="s">
        <v>25</v>
      </c>
      <c r="E501" t="s">
        <v>178</v>
      </c>
      <c r="F501" t="s">
        <v>19</v>
      </c>
      <c r="G501" t="s">
        <v>19</v>
      </c>
      <c r="H501" t="s">
        <v>25</v>
      </c>
      <c r="I501" t="s">
        <v>19</v>
      </c>
      <c r="J501" t="s">
        <v>19</v>
      </c>
      <c r="K501" s="21" t="s">
        <v>607</v>
      </c>
      <c r="L501" s="5" t="s">
        <v>19</v>
      </c>
      <c r="M501" s="5" t="s">
        <v>19</v>
      </c>
      <c r="N501" s="5" t="s">
        <v>19</v>
      </c>
      <c r="O501" s="5" t="s">
        <v>19</v>
      </c>
      <c r="P501" s="5" t="s">
        <v>19</v>
      </c>
      <c r="Q501" s="5" t="s">
        <v>19</v>
      </c>
      <c r="R501" s="5" t="s">
        <v>19</v>
      </c>
      <c r="S501" s="5" t="s">
        <v>19</v>
      </c>
      <c r="T501" s="5" t="s">
        <v>19</v>
      </c>
      <c r="U501" s="5" t="str">
        <f>HYPERLINK("http://www.lghausys.co.kr/popup/rn/download/downloadPopup.jsp?from=plwindow&amp;uu=/upload/window/REPORT/LGH-DA17-006.pdf","결로발생없음")</f>
        <v>결로발생없음</v>
      </c>
      <c r="V501" s="5" t="s">
        <v>19</v>
      </c>
      <c r="W501" s="5" t="s">
        <v>75</v>
      </c>
      <c r="X501"/>
    </row>
    <row r="502" spans="1:24">
      <c r="A502" t="s">
        <v>179</v>
      </c>
      <c r="B502" t="s">
        <v>19</v>
      </c>
      <c r="C502" t="s">
        <v>20</v>
      </c>
      <c r="D502" t="s">
        <v>64</v>
      </c>
      <c r="E502" t="s">
        <v>19</v>
      </c>
      <c r="F502" t="s">
        <v>19</v>
      </c>
      <c r="G502" t="s">
        <v>19</v>
      </c>
      <c r="H502" t="s">
        <v>79</v>
      </c>
      <c r="I502" t="s">
        <v>19</v>
      </c>
      <c r="J502" t="s">
        <v>97</v>
      </c>
      <c r="K502" s="21" t="str">
        <f>IF(X502&lt;=0.9,HYPERLINK("http://www.lxhausys.co.kr/popup/rn/download/downloadPopup.jsp?from=plwindow&amp;uu=/upload/window/REPORT/LGH-TW17-033.pdf","1등급"),IF(X502&lt;=1.2,HYPERLINK("http://www.lxhausys.co.kr/popup/rn/download/downloadPopup.jsp?from=plwindow&amp;uu=/upload/window/REPORT/LGH-TW17-033.pdf","2등급"),IF(X502&lt;=1.8,HYPERLINK("http://www.lxhausys.co.kr/popup/rn/download/downloadPopup.jsp?from=plwindow&amp;uu=/upload/window/REPORT/LGH-TW17-033.pdf","3등급"),IF(X502&lt;=2.3,HYPERLINK("http://www.lxhausys.co.kr/popup/rn/download/downloadPopup.jsp?from=plwindow&amp;uu=/upload/window/REPORT/LGH-TW17-033.pdf","4등급"),IF(X502&lt;=2.8,HYPERLINK("http://www.lxhausys.co.kr/popup/rn/download/downloadPopup.jsp?from=plwindow&amp;uu=/upload/window/REPORT/LGH-TW17-033.pdf","5등급"),HYPERLINK("http://www.lxhausys.co.kr/popup/rn/download/downloadPopup.jsp?from=plwindow&amp;uu=/upload/window/REPORT/LGH-TW17-033.pdf","등급외"))))))</f>
        <v>3등급</v>
      </c>
      <c r="L502" s="5">
        <v>1.36</v>
      </c>
      <c r="M502" s="5" t="s">
        <v>103</v>
      </c>
      <c r="N502" s="5" t="s">
        <v>607</v>
      </c>
      <c r="O502" s="5" t="s">
        <v>19</v>
      </c>
      <c r="P502" s="5" t="s">
        <v>19</v>
      </c>
      <c r="Q502" s="5" t="s">
        <v>19</v>
      </c>
      <c r="R502" s="5" t="s">
        <v>19</v>
      </c>
      <c r="S502" s="5" t="s">
        <v>19</v>
      </c>
      <c r="T502" s="5" t="s">
        <v>19</v>
      </c>
      <c r="U502" s="5" t="s">
        <v>19</v>
      </c>
      <c r="V502" s="5" t="s">
        <v>19</v>
      </c>
      <c r="W502" s="5" t="s">
        <v>19</v>
      </c>
      <c r="X502" s="19">
        <f>L502</f>
        <v>1.36</v>
      </c>
    </row>
    <row r="503" spans="1:24">
      <c r="A503" t="s">
        <v>179</v>
      </c>
      <c r="B503" t="s">
        <v>19</v>
      </c>
      <c r="C503" t="s">
        <v>20</v>
      </c>
      <c r="D503" t="s">
        <v>53</v>
      </c>
      <c r="E503" t="s">
        <v>19</v>
      </c>
      <c r="F503" t="s">
        <v>19</v>
      </c>
      <c r="G503" t="s">
        <v>19</v>
      </c>
      <c r="H503" t="s">
        <v>79</v>
      </c>
      <c r="I503" t="s">
        <v>19</v>
      </c>
      <c r="J503" t="s">
        <v>97</v>
      </c>
      <c r="K503" s="21" t="str">
        <f>IF(X503&lt;=0.9,HYPERLINK("http://www.lxhausys.co.kr/popup/rn/download/downloadPopup.jsp?from=plwindow&amp;uu=/upload/window/REPORT/LGH-TW17-034.pdf","1등급"),IF(X503&lt;=1.2,HYPERLINK("http://www.lxhausys.co.kr/popup/rn/download/downloadPopup.jsp?from=plwindow&amp;uu=/upload/window/REPORT/LGH-TW17-034.pdf","2등급"),IF(X503&lt;=1.8,HYPERLINK("http://www.lxhausys.co.kr/popup/rn/download/downloadPopup.jsp?from=plwindow&amp;uu=/upload/window/REPORT/LGH-TW17-034.pdf","3등급"),IF(X503&lt;=2.3,HYPERLINK("http://www.lxhausys.co.kr/popup/rn/download/downloadPopup.jsp?from=plwindow&amp;uu=/upload/window/REPORT/LGH-TW17-034.pdf","4등급"),IF(X503&lt;=2.8,HYPERLINK("http://www.lxhausys.co.kr/popup/rn/download/downloadPopup.jsp?from=plwindow&amp;uu=/upload/window/REPORT/LGH-TW17-034.pdf","5등급"),HYPERLINK("http://www.lxhausys.co.kr/popup/rn/download/downloadPopup.jsp?from=plwindow&amp;uu=/upload/window/REPORT/LGH-TW17-034.pdf","등급외"))))))</f>
        <v>3등급</v>
      </c>
      <c r="L503" s="5">
        <v>1.274</v>
      </c>
      <c r="M503" s="5" t="s">
        <v>103</v>
      </c>
      <c r="N503" s="5" t="s">
        <v>607</v>
      </c>
      <c r="O503" s="5" t="s">
        <v>19</v>
      </c>
      <c r="P503" s="5" t="s">
        <v>19</v>
      </c>
      <c r="Q503" s="5" t="s">
        <v>19</v>
      </c>
      <c r="R503" s="5" t="s">
        <v>19</v>
      </c>
      <c r="S503" s="5" t="s">
        <v>19</v>
      </c>
      <c r="T503" s="5" t="s">
        <v>19</v>
      </c>
      <c r="U503" s="5" t="s">
        <v>19</v>
      </c>
      <c r="V503" s="5" t="s">
        <v>19</v>
      </c>
      <c r="W503" s="5" t="s">
        <v>19</v>
      </c>
      <c r="X503" s="19">
        <f>L503</f>
        <v>1.274</v>
      </c>
    </row>
    <row r="504" spans="1:24">
      <c r="A504" t="s">
        <v>179</v>
      </c>
      <c r="B504" t="s">
        <v>19</v>
      </c>
      <c r="C504" t="s">
        <v>20</v>
      </c>
      <c r="D504" t="s">
        <v>25</v>
      </c>
      <c r="E504" t="s">
        <v>19</v>
      </c>
      <c r="F504" t="s">
        <v>19</v>
      </c>
      <c r="G504" t="s">
        <v>19</v>
      </c>
      <c r="H504" t="s">
        <v>79</v>
      </c>
      <c r="I504" t="s">
        <v>19</v>
      </c>
      <c r="J504" t="s">
        <v>97</v>
      </c>
      <c r="K504" s="21" t="str">
        <f>IF(X504&lt;=0.9,HYPERLINK("http://www.lxhausys.co.kr/popup/rn/download/downloadPopup.jsp?from=plwindow&amp;uu=/upload/window/REPORT/LGH-TW17-035.pdf","1등급"),IF(X504&lt;=1.2,HYPERLINK("http://www.lxhausys.co.kr/popup/rn/download/downloadPopup.jsp?from=plwindow&amp;uu=/upload/window/REPORT/LGH-TW17-035.pdf","2등급"),IF(X504&lt;=1.8,HYPERLINK("http://www.lxhausys.co.kr/popup/rn/download/downloadPopup.jsp?from=plwindow&amp;uu=/upload/window/REPORT/LGH-TW17-035.pdf","3등급"),IF(X504&lt;=2.3,HYPERLINK("http://www.lxhausys.co.kr/popup/rn/download/downloadPopup.jsp?from=plwindow&amp;uu=/upload/window/REPORT/LGH-TW17-035.pdf","4등급"),IF(X504&lt;=2.8,HYPERLINK("http://www.lxhausys.co.kr/popup/rn/download/downloadPopup.jsp?from=plwindow&amp;uu=/upload/window/REPORT/LGH-TW17-035.pdf","5등급"),HYPERLINK("http://www.lxhausys.co.kr/popup/rn/download/downloadPopup.jsp?from=plwindow&amp;uu=/upload/window/REPORT/LGH-TW17-035.pdf","등급외"))))))</f>
        <v>3등급</v>
      </c>
      <c r="L504" s="5">
        <v>1.6395999999999999</v>
      </c>
      <c r="M504" s="5" t="s">
        <v>103</v>
      </c>
      <c r="N504" s="5" t="s">
        <v>607</v>
      </c>
      <c r="O504" s="5" t="s">
        <v>19</v>
      </c>
      <c r="P504" s="5" t="s">
        <v>19</v>
      </c>
      <c r="Q504" s="5" t="s">
        <v>19</v>
      </c>
      <c r="R504" s="5" t="s">
        <v>19</v>
      </c>
      <c r="S504" s="5" t="s">
        <v>19</v>
      </c>
      <c r="T504" s="5" t="s">
        <v>19</v>
      </c>
      <c r="U504" s="5" t="s">
        <v>19</v>
      </c>
      <c r="V504" s="5" t="s">
        <v>19</v>
      </c>
      <c r="W504" s="5" t="s">
        <v>19</v>
      </c>
      <c r="X504" s="19">
        <f>L504</f>
        <v>1.6395999999999999</v>
      </c>
    </row>
    <row r="505" spans="1:24">
      <c r="A505" t="s">
        <v>30</v>
      </c>
      <c r="B505" t="s">
        <v>19</v>
      </c>
      <c r="C505" t="s">
        <v>31</v>
      </c>
      <c r="D505" t="s">
        <v>28</v>
      </c>
      <c r="E505" t="s">
        <v>19</v>
      </c>
      <c r="F505" t="s">
        <v>19</v>
      </c>
      <c r="G505" t="s">
        <v>19</v>
      </c>
      <c r="H505" t="s">
        <v>41</v>
      </c>
      <c r="I505" t="s">
        <v>19</v>
      </c>
      <c r="J505" t="s">
        <v>145</v>
      </c>
      <c r="K505" s="21" t="s">
        <v>607</v>
      </c>
      <c r="L505" s="5" t="s">
        <v>19</v>
      </c>
      <c r="M505" s="5" t="s">
        <v>19</v>
      </c>
      <c r="N505" s="5" t="s">
        <v>19</v>
      </c>
      <c r="O505" s="5" t="str">
        <f>HYPERLINK("http://www.lghausys.co.kr/popup/rn/download/downloadPopup.jsp?from=plwindow&amp;uu=/upload/window/REPORT/LGH-WA17-038.pdf","1등급")</f>
        <v>1등급</v>
      </c>
      <c r="P505" s="5" t="s">
        <v>19</v>
      </c>
      <c r="Q505" s="5" t="s">
        <v>19</v>
      </c>
      <c r="R505" s="5" t="s">
        <v>19</v>
      </c>
      <c r="S505" s="5" t="s">
        <v>19</v>
      </c>
      <c r="T505" s="5" t="s">
        <v>19</v>
      </c>
      <c r="U505" s="5" t="s">
        <v>19</v>
      </c>
      <c r="V505" s="5" t="s">
        <v>19</v>
      </c>
      <c r="W505" s="5" t="s">
        <v>152</v>
      </c>
      <c r="X505"/>
    </row>
    <row r="506" spans="1:24">
      <c r="A506" t="s">
        <v>59</v>
      </c>
      <c r="B506" t="s">
        <v>19</v>
      </c>
      <c r="C506" t="s">
        <v>31</v>
      </c>
      <c r="D506" t="s">
        <v>25</v>
      </c>
      <c r="E506" t="s">
        <v>19</v>
      </c>
      <c r="F506" t="s">
        <v>19</v>
      </c>
      <c r="G506" t="s">
        <v>19</v>
      </c>
      <c r="H506" t="s">
        <v>19</v>
      </c>
      <c r="I506" t="s">
        <v>19</v>
      </c>
      <c r="J506" t="s">
        <v>74</v>
      </c>
      <c r="K506" s="21" t="s">
        <v>607</v>
      </c>
      <c r="L506" s="5" t="s">
        <v>19</v>
      </c>
      <c r="M506" s="5" t="s">
        <v>19</v>
      </c>
      <c r="N506" s="5" t="s">
        <v>19</v>
      </c>
      <c r="O506" s="5" t="str">
        <f>HYPERLINK("http://www.lghausys.co.kr/popup/rn/download/downloadPopup.jsp?from=plwindow&amp;uu=/upload/window/REPORT/LGH-WA17-039.pdf","15등급")</f>
        <v>15등급</v>
      </c>
      <c r="P506" s="5" t="s">
        <v>19</v>
      </c>
      <c r="Q506" s="5" t="s">
        <v>19</v>
      </c>
      <c r="R506" s="5" t="s">
        <v>19</v>
      </c>
      <c r="S506" s="5" t="s">
        <v>19</v>
      </c>
      <c r="T506" s="5" t="s">
        <v>19</v>
      </c>
      <c r="U506" s="5" t="s">
        <v>19</v>
      </c>
      <c r="V506" s="5" t="s">
        <v>19</v>
      </c>
      <c r="W506" s="5" t="s">
        <v>152</v>
      </c>
      <c r="X506"/>
    </row>
    <row r="507" spans="1:24">
      <c r="A507" t="s">
        <v>60</v>
      </c>
      <c r="B507" t="s">
        <v>19</v>
      </c>
      <c r="C507" t="s">
        <v>31</v>
      </c>
      <c r="D507" t="s">
        <v>25</v>
      </c>
      <c r="E507" t="s">
        <v>19</v>
      </c>
      <c r="F507" t="s">
        <v>19</v>
      </c>
      <c r="G507" t="s">
        <v>19</v>
      </c>
      <c r="H507" t="s">
        <v>25</v>
      </c>
      <c r="I507" t="s">
        <v>19</v>
      </c>
      <c r="J507" t="s">
        <v>74</v>
      </c>
      <c r="K507" s="21" t="s">
        <v>607</v>
      </c>
      <c r="L507" s="5" t="s">
        <v>19</v>
      </c>
      <c r="M507" s="5" t="s">
        <v>19</v>
      </c>
      <c r="N507" s="5" t="s">
        <v>19</v>
      </c>
      <c r="O507" s="5" t="str">
        <f>HYPERLINK("http://www.lghausys.co.kr/popup/rn/download/downloadPopup.jsp?from=plwindow&amp;uu=/upload/window/REPORT/LGH-WA17-040.pdf","50등급")</f>
        <v>50등급</v>
      </c>
      <c r="P507" s="5" t="s">
        <v>19</v>
      </c>
      <c r="Q507" s="5" t="s">
        <v>19</v>
      </c>
      <c r="R507" s="5" t="s">
        <v>19</v>
      </c>
      <c r="S507" s="5" t="s">
        <v>19</v>
      </c>
      <c r="T507" s="5" t="s">
        <v>19</v>
      </c>
      <c r="U507" s="5" t="s">
        <v>19</v>
      </c>
      <c r="V507" s="5" t="s">
        <v>19</v>
      </c>
      <c r="W507" s="5" t="s">
        <v>152</v>
      </c>
      <c r="X507"/>
    </row>
    <row r="508" spans="1:24">
      <c r="A508" t="s">
        <v>180</v>
      </c>
      <c r="B508" t="s">
        <v>19</v>
      </c>
      <c r="C508" t="s">
        <v>20</v>
      </c>
      <c r="D508" t="s">
        <v>68</v>
      </c>
      <c r="E508" t="s">
        <v>181</v>
      </c>
      <c r="F508" t="s">
        <v>68</v>
      </c>
      <c r="G508" t="s">
        <v>182</v>
      </c>
      <c r="H508" t="s">
        <v>102</v>
      </c>
      <c r="I508" t="s">
        <v>19</v>
      </c>
      <c r="J508" t="s">
        <v>97</v>
      </c>
      <c r="K508" s="21" t="str">
        <f>IF(X508&lt;=0.9,HYPERLINK("http://www.lxhausys.co.kr/popup/rn/download/downloadPopup.jsp?from=plwindow&amp;uu=/upload/window/REPORT/LGH-TW17-038.pdf","1등급"),IF(X508&lt;=1.2,HYPERLINK("http://www.lxhausys.co.kr/popup/rn/download/downloadPopup.jsp?from=plwindow&amp;uu=/upload/window/REPORT/LGH-TW17-038.pdf","2등급"),IF(X508&lt;=1.8,HYPERLINK("http://www.lxhausys.co.kr/popup/rn/download/downloadPopup.jsp?from=plwindow&amp;uu=/upload/window/REPORT/LGH-TW17-038.pdf","3등급"),IF(X508&lt;=2.3,HYPERLINK("http://www.lxhausys.co.kr/popup/rn/download/downloadPopup.jsp?from=plwindow&amp;uu=/upload/window/REPORT/LGH-TW17-038.pdf","4등급"),IF(X508&lt;=2.8,HYPERLINK("http://www.lxhausys.co.kr/popup/rn/download/downloadPopup.jsp?from=plwindow&amp;uu=/upload/window/REPORT/LGH-TW17-038.pdf","5등급"),HYPERLINK("http://www.lxhausys.co.kr/popup/rn/download/downloadPopup.jsp?from=plwindow&amp;uu=/upload/window/REPORT/LGH-TW17-038.pdf","등급외"))))))</f>
        <v>2등급</v>
      </c>
      <c r="L508" s="5">
        <v>0.93810000000000004</v>
      </c>
      <c r="M508" s="5" t="s">
        <v>22</v>
      </c>
      <c r="N508" s="5" t="s">
        <v>607</v>
      </c>
      <c r="O508" s="5" t="s">
        <v>19</v>
      </c>
      <c r="P508" s="5" t="s">
        <v>19</v>
      </c>
      <c r="Q508" s="5" t="s">
        <v>19</v>
      </c>
      <c r="R508" s="5" t="s">
        <v>19</v>
      </c>
      <c r="S508" s="5" t="s">
        <v>19</v>
      </c>
      <c r="T508" s="5" t="s">
        <v>19</v>
      </c>
      <c r="U508" s="5" t="s">
        <v>19</v>
      </c>
      <c r="V508" s="5" t="s">
        <v>19</v>
      </c>
      <c r="W508" s="5" t="s">
        <v>19</v>
      </c>
      <c r="X508" s="19">
        <f>L508</f>
        <v>0.93810000000000004</v>
      </c>
    </row>
    <row r="509" spans="1:24">
      <c r="A509" t="s">
        <v>180</v>
      </c>
      <c r="B509" t="s">
        <v>19</v>
      </c>
      <c r="C509" t="s">
        <v>31</v>
      </c>
      <c r="D509" t="s">
        <v>68</v>
      </c>
      <c r="E509" t="s">
        <v>181</v>
      </c>
      <c r="F509" t="s">
        <v>68</v>
      </c>
      <c r="G509" t="s">
        <v>182</v>
      </c>
      <c r="H509" t="s">
        <v>102</v>
      </c>
      <c r="I509" t="s">
        <v>19</v>
      </c>
      <c r="J509" t="s">
        <v>74</v>
      </c>
      <c r="K509" s="21" t="s">
        <v>607</v>
      </c>
      <c r="L509" s="5" t="s">
        <v>19</v>
      </c>
      <c r="M509" s="5" t="s">
        <v>19</v>
      </c>
      <c r="N509" s="5" t="s">
        <v>19</v>
      </c>
      <c r="O509" s="5" t="str">
        <f>HYPERLINK("http://www.lghausys.co.kr/popup/rn/download/downloadPopup.jsp?from=plwindow&amp;uu=/upload/window/REPORT/LGH-WA17-046.pdf","35등급")</f>
        <v>35등급</v>
      </c>
      <c r="P509" s="5" t="s">
        <v>19</v>
      </c>
      <c r="Q509" s="5" t="s">
        <v>19</v>
      </c>
      <c r="R509" s="5" t="s">
        <v>19</v>
      </c>
      <c r="S509" s="5" t="s">
        <v>19</v>
      </c>
      <c r="T509" s="5" t="s">
        <v>19</v>
      </c>
      <c r="U509" s="5" t="s">
        <v>19</v>
      </c>
      <c r="V509" s="5" t="s">
        <v>19</v>
      </c>
      <c r="W509" s="5" t="s">
        <v>183</v>
      </c>
      <c r="X509"/>
    </row>
    <row r="510" spans="1:24">
      <c r="A510" t="s">
        <v>42</v>
      </c>
      <c r="B510" t="s">
        <v>43</v>
      </c>
      <c r="C510" t="s">
        <v>34</v>
      </c>
      <c r="D510" t="s">
        <v>21</v>
      </c>
      <c r="E510" t="s">
        <v>19</v>
      </c>
      <c r="F510" t="s">
        <v>19</v>
      </c>
      <c r="G510" t="s">
        <v>19</v>
      </c>
      <c r="H510" t="s">
        <v>19</v>
      </c>
      <c r="I510" t="s">
        <v>19</v>
      </c>
      <c r="J510" t="s">
        <v>97</v>
      </c>
      <c r="K510" s="21" t="s">
        <v>607</v>
      </c>
      <c r="L510" s="5" t="s">
        <v>19</v>
      </c>
      <c r="M510" s="5" t="s">
        <v>19</v>
      </c>
      <c r="N510" s="5" t="str">
        <f>HYPERLINK("http://www.lghausys.co.kr/popup/rn/download/downloadPopup.jsp?from=plwindow&amp;uu=/upload/window/REPORT/LGH-TA17-064.pdf","1.7394")</f>
        <v>1.7394</v>
      </c>
      <c r="O510" s="5" t="s">
        <v>19</v>
      </c>
      <c r="P510" s="5" t="s">
        <v>19</v>
      </c>
      <c r="Q510" s="5" t="s">
        <v>19</v>
      </c>
      <c r="R510" s="5" t="s">
        <v>19</v>
      </c>
      <c r="S510" s="5" t="s">
        <v>19</v>
      </c>
      <c r="T510" s="5" t="s">
        <v>19</v>
      </c>
      <c r="U510" s="5" t="s">
        <v>19</v>
      </c>
      <c r="V510" s="5" t="s">
        <v>19</v>
      </c>
      <c r="W510" s="5" t="s">
        <v>75</v>
      </c>
      <c r="X510"/>
    </row>
    <row r="511" spans="1:24">
      <c r="A511" t="s">
        <v>19</v>
      </c>
      <c r="B511" t="s">
        <v>83</v>
      </c>
      <c r="C511" t="s">
        <v>34</v>
      </c>
      <c r="D511" t="s">
        <v>126</v>
      </c>
      <c r="E511" t="s">
        <v>19</v>
      </c>
      <c r="F511" t="s">
        <v>19</v>
      </c>
      <c r="G511" t="s">
        <v>19</v>
      </c>
      <c r="H511" t="s">
        <v>19</v>
      </c>
      <c r="I511" t="s">
        <v>19</v>
      </c>
      <c r="J511" t="s">
        <v>74</v>
      </c>
      <c r="K511" s="21" t="s">
        <v>607</v>
      </c>
      <c r="L511" s="5" t="s">
        <v>19</v>
      </c>
      <c r="M511" s="5" t="s">
        <v>19</v>
      </c>
      <c r="N511" s="5" t="str">
        <f>HYPERLINK("http://www.lghausys.co.kr/popup/rn/download/downloadPopup.jsp?from=plwindow&amp;uu=/upload/window/REPORT/LGH-TA17-065.pdf","1.7995")</f>
        <v>1.7995</v>
      </c>
      <c r="O511" s="5" t="s">
        <v>19</v>
      </c>
      <c r="P511" s="5" t="s">
        <v>19</v>
      </c>
      <c r="Q511" s="5" t="s">
        <v>19</v>
      </c>
      <c r="R511" s="5" t="s">
        <v>19</v>
      </c>
      <c r="S511" s="5" t="s">
        <v>19</v>
      </c>
      <c r="T511" s="5" t="s">
        <v>19</v>
      </c>
      <c r="U511" s="5" t="s">
        <v>19</v>
      </c>
      <c r="V511" s="5" t="s">
        <v>19</v>
      </c>
      <c r="W511" s="5" t="s">
        <v>75</v>
      </c>
      <c r="X511"/>
    </row>
    <row r="512" spans="1:24">
      <c r="A512" t="s">
        <v>133</v>
      </c>
      <c r="B512" t="s">
        <v>19</v>
      </c>
      <c r="C512" t="s">
        <v>13</v>
      </c>
      <c r="D512" t="s">
        <v>28</v>
      </c>
      <c r="E512" t="s">
        <v>96</v>
      </c>
      <c r="F512" t="s">
        <v>19</v>
      </c>
      <c r="G512" t="s">
        <v>19</v>
      </c>
      <c r="H512" t="s">
        <v>28</v>
      </c>
      <c r="I512" t="s">
        <v>19</v>
      </c>
      <c r="J512" t="s">
        <v>99</v>
      </c>
      <c r="K512" s="21" t="s">
        <v>607</v>
      </c>
      <c r="L512" s="5" t="s">
        <v>19</v>
      </c>
      <c r="M512" s="5" t="s">
        <v>19</v>
      </c>
      <c r="N512" s="5" t="s">
        <v>19</v>
      </c>
      <c r="O512" s="5" t="s">
        <v>19</v>
      </c>
      <c r="P512" s="5" t="s">
        <v>19</v>
      </c>
      <c r="Q512" s="5" t="s">
        <v>19</v>
      </c>
      <c r="R512" s="5" t="s">
        <v>19</v>
      </c>
      <c r="S512" s="5" t="str">
        <f>HYPERLINK("http://www.lghausys.co.kr/popup/rn/download/downloadPopup.jsp?from=plwindow&amp;uu=/upload/window/REPORT/LGH-DA17-008.pdf","결로발생없음")</f>
        <v>결로발생없음</v>
      </c>
      <c r="T512" s="5" t="s">
        <v>19</v>
      </c>
      <c r="U512" s="5" t="s">
        <v>19</v>
      </c>
      <c r="V512" s="5" t="s">
        <v>19</v>
      </c>
      <c r="W512" s="5" t="s">
        <v>75</v>
      </c>
      <c r="X512"/>
    </row>
    <row r="513" spans="1:24">
      <c r="A513" t="s">
        <v>133</v>
      </c>
      <c r="B513" t="s">
        <v>19</v>
      </c>
      <c r="C513" t="s">
        <v>14</v>
      </c>
      <c r="D513" t="s">
        <v>28</v>
      </c>
      <c r="E513" t="s">
        <v>147</v>
      </c>
      <c r="F513" t="s">
        <v>19</v>
      </c>
      <c r="G513" t="s">
        <v>19</v>
      </c>
      <c r="H513" t="s">
        <v>28</v>
      </c>
      <c r="I513" t="s">
        <v>19</v>
      </c>
      <c r="J513" t="s">
        <v>74</v>
      </c>
      <c r="K513" s="21" t="s">
        <v>607</v>
      </c>
      <c r="L513" s="5" t="s">
        <v>19</v>
      </c>
      <c r="M513" s="5" t="s">
        <v>19</v>
      </c>
      <c r="N513" s="5" t="s">
        <v>19</v>
      </c>
      <c r="O513" s="5" t="s">
        <v>19</v>
      </c>
      <c r="P513" s="5" t="s">
        <v>19</v>
      </c>
      <c r="Q513" s="5" t="s">
        <v>19</v>
      </c>
      <c r="R513" s="5" t="s">
        <v>19</v>
      </c>
      <c r="S513" s="5" t="s">
        <v>19</v>
      </c>
      <c r="T513" s="5" t="str">
        <f>HYPERLINK("http://www.lghausys.co.kr/popup/rn/download/downloadPopup.jsp?from=plwindow&amp;uu=/upload/window/REPORT/LGH-DA17-009.pdf","결로발생없음")</f>
        <v>결로발생없음</v>
      </c>
      <c r="U513" s="5" t="s">
        <v>19</v>
      </c>
      <c r="V513" s="5" t="s">
        <v>19</v>
      </c>
      <c r="W513" s="5" t="s">
        <v>75</v>
      </c>
      <c r="X513"/>
    </row>
    <row r="514" spans="1:24">
      <c r="A514" t="s">
        <v>57</v>
      </c>
      <c r="B514" t="s">
        <v>58</v>
      </c>
      <c r="C514" t="s">
        <v>31</v>
      </c>
      <c r="D514" t="s">
        <v>41</v>
      </c>
      <c r="E514" t="s">
        <v>19</v>
      </c>
      <c r="F514" t="s">
        <v>19</v>
      </c>
      <c r="G514" t="s">
        <v>19</v>
      </c>
      <c r="H514" t="s">
        <v>19</v>
      </c>
      <c r="I514" t="s">
        <v>19</v>
      </c>
      <c r="J514" t="s">
        <v>74</v>
      </c>
      <c r="K514" s="21" t="s">
        <v>607</v>
      </c>
      <c r="L514" s="5" t="s">
        <v>19</v>
      </c>
      <c r="M514" s="5" t="s">
        <v>19</v>
      </c>
      <c r="N514" s="5" t="s">
        <v>19</v>
      </c>
      <c r="O514" s="5" t="str">
        <f>HYPERLINK("http://www.lghausys.co.kr/popup/rn/download/downloadPopup.jsp?from=plwindow&amp;uu=/upload/window/REPORT/LGH-WA17-063.pdf","1등급")</f>
        <v>1등급</v>
      </c>
      <c r="P514" s="5" t="str">
        <f>HYPERLINK("http://www.lghausys.co.kr/popup/rn/download/downloadPopup.jsp?from=plwindow&amp;uu=/upload/window/REPORT/LGH-WA17-063.pdf","50등급")</f>
        <v>50등급</v>
      </c>
      <c r="Q514" s="5" t="str">
        <f>HYPERLINK("http://www.lghausys.co.kr/popup/rn/download/downloadPopup.jsp?from=plwindow&amp;uu=/upload/window/REPORT/LGH-WA17-063.pdf","160등급")</f>
        <v>160등급</v>
      </c>
      <c r="R514" s="5" t="s">
        <v>19</v>
      </c>
      <c r="S514" s="5" t="s">
        <v>19</v>
      </c>
      <c r="T514" s="5" t="s">
        <v>19</v>
      </c>
      <c r="U514" s="5" t="s">
        <v>19</v>
      </c>
      <c r="V514" s="5" t="s">
        <v>19</v>
      </c>
      <c r="W514" s="5" t="s">
        <v>152</v>
      </c>
      <c r="X514"/>
    </row>
    <row r="515" spans="1:24">
      <c r="A515" t="s">
        <v>42</v>
      </c>
      <c r="B515" t="s">
        <v>43</v>
      </c>
      <c r="C515" t="s">
        <v>31</v>
      </c>
      <c r="D515" t="s">
        <v>28</v>
      </c>
      <c r="E515" t="s">
        <v>19</v>
      </c>
      <c r="F515" t="s">
        <v>19</v>
      </c>
      <c r="G515" t="s">
        <v>19</v>
      </c>
      <c r="H515" t="s">
        <v>19</v>
      </c>
      <c r="I515" t="s">
        <v>19</v>
      </c>
      <c r="J515" t="s">
        <v>184</v>
      </c>
      <c r="K515" s="21" t="s">
        <v>607</v>
      </c>
      <c r="L515" s="5" t="s">
        <v>19</v>
      </c>
      <c r="M515" s="5" t="s">
        <v>19</v>
      </c>
      <c r="N515" s="5" t="s">
        <v>19</v>
      </c>
      <c r="O515" s="5" t="str">
        <f>HYPERLINK("http://www.lghausys.co.kr/popup/rn/download/downloadPopup.jsp?from=plwindow&amp;uu=/upload/window/REPORT/LGH-WA17-064.pdf","1등급")</f>
        <v>1등급</v>
      </c>
      <c r="P515" s="5" t="s">
        <v>19</v>
      </c>
      <c r="Q515" s="5" t="s">
        <v>19</v>
      </c>
      <c r="R515" s="5" t="s">
        <v>19</v>
      </c>
      <c r="S515" s="5" t="s">
        <v>19</v>
      </c>
      <c r="T515" s="5" t="s">
        <v>19</v>
      </c>
      <c r="U515" s="5" t="s">
        <v>19</v>
      </c>
      <c r="V515" s="5" t="s">
        <v>19</v>
      </c>
      <c r="W515" s="5" t="s">
        <v>152</v>
      </c>
      <c r="X515"/>
    </row>
    <row r="516" spans="1:24">
      <c r="A516" t="s">
        <v>57</v>
      </c>
      <c r="B516" t="s">
        <v>58</v>
      </c>
      <c r="C516" t="s">
        <v>31</v>
      </c>
      <c r="D516" t="s">
        <v>41</v>
      </c>
      <c r="E516" t="s">
        <v>19</v>
      </c>
      <c r="F516" t="s">
        <v>19</v>
      </c>
      <c r="G516" t="s">
        <v>19</v>
      </c>
      <c r="H516" t="s">
        <v>19</v>
      </c>
      <c r="I516" t="s">
        <v>19</v>
      </c>
      <c r="J516" t="s">
        <v>97</v>
      </c>
      <c r="K516" s="21" t="s">
        <v>607</v>
      </c>
      <c r="L516" s="5" t="s">
        <v>19</v>
      </c>
      <c r="M516" s="5" t="s">
        <v>19</v>
      </c>
      <c r="N516" s="5" t="s">
        <v>19</v>
      </c>
      <c r="O516" s="5" t="str">
        <f>HYPERLINK("http://www.lghausys.co.kr/popup/rn/download/downloadPopup.jsp?from=plwindow&amp;uu=/upload/window/REPORT/LGH-WA17-067.pdf","1등급")</f>
        <v>1등급</v>
      </c>
      <c r="P516" s="5" t="s">
        <v>19</v>
      </c>
      <c r="Q516" s="5" t="s">
        <v>19</v>
      </c>
      <c r="R516" s="5" t="s">
        <v>19</v>
      </c>
      <c r="S516" s="5" t="s">
        <v>19</v>
      </c>
      <c r="T516" s="5" t="s">
        <v>19</v>
      </c>
      <c r="U516" s="5" t="s">
        <v>19</v>
      </c>
      <c r="V516" s="5" t="s">
        <v>19</v>
      </c>
      <c r="W516" s="5" t="s">
        <v>152</v>
      </c>
      <c r="X516"/>
    </row>
    <row r="517" spans="1:24">
      <c r="A517" t="s">
        <v>57</v>
      </c>
      <c r="B517" t="s">
        <v>58</v>
      </c>
      <c r="C517" t="s">
        <v>31</v>
      </c>
      <c r="D517" t="s">
        <v>41</v>
      </c>
      <c r="E517" t="s">
        <v>19</v>
      </c>
      <c r="F517" t="s">
        <v>19</v>
      </c>
      <c r="G517" t="s">
        <v>19</v>
      </c>
      <c r="H517" t="s">
        <v>19</v>
      </c>
      <c r="I517" t="s">
        <v>19</v>
      </c>
      <c r="J517" t="s">
        <v>97</v>
      </c>
      <c r="K517" s="21" t="s">
        <v>607</v>
      </c>
      <c r="L517" s="5" t="s">
        <v>19</v>
      </c>
      <c r="M517" s="5" t="s">
        <v>19</v>
      </c>
      <c r="N517" s="5" t="s">
        <v>19</v>
      </c>
      <c r="O517" s="5" t="s">
        <v>19</v>
      </c>
      <c r="P517" s="5" t="str">
        <f>HYPERLINK("http://www.lghausys.co.kr/popup/rn/download/downloadPopup.jsp?from=plwindow&amp;uu=/upload/window/REPORT/LGH-WA17-068.pdf","50등급")</f>
        <v>50등급</v>
      </c>
      <c r="Q517" s="5" t="s">
        <v>19</v>
      </c>
      <c r="R517" s="5" t="s">
        <v>19</v>
      </c>
      <c r="S517" s="5" t="s">
        <v>19</v>
      </c>
      <c r="T517" s="5" t="s">
        <v>19</v>
      </c>
      <c r="U517" s="5" t="s">
        <v>19</v>
      </c>
      <c r="V517" s="5" t="s">
        <v>19</v>
      </c>
      <c r="W517" s="5" t="s">
        <v>152</v>
      </c>
      <c r="X517"/>
    </row>
    <row r="518" spans="1:24">
      <c r="A518" t="s">
        <v>57</v>
      </c>
      <c r="B518" t="s">
        <v>58</v>
      </c>
      <c r="C518" t="s">
        <v>31</v>
      </c>
      <c r="D518" t="s">
        <v>41</v>
      </c>
      <c r="E518" t="s">
        <v>19</v>
      </c>
      <c r="F518" t="s">
        <v>19</v>
      </c>
      <c r="G518" t="s">
        <v>19</v>
      </c>
      <c r="H518" t="s">
        <v>19</v>
      </c>
      <c r="I518" t="s">
        <v>19</v>
      </c>
      <c r="J518" t="s">
        <v>97</v>
      </c>
      <c r="K518" s="21" t="s">
        <v>607</v>
      </c>
      <c r="L518" s="5" t="s">
        <v>19</v>
      </c>
      <c r="M518" s="5" t="s">
        <v>19</v>
      </c>
      <c r="N518" s="5" t="s">
        <v>19</v>
      </c>
      <c r="O518" s="5" t="s">
        <v>19</v>
      </c>
      <c r="P518" s="5" t="s">
        <v>19</v>
      </c>
      <c r="Q518" s="5" t="str">
        <f>HYPERLINK("http://www.lghausys.co.kr/popup/rn/download/downloadPopup.jsp?from=plwindow&amp;uu=/upload/window/REPORT/LGH-WA17-069.pdf","160등급")</f>
        <v>160등급</v>
      </c>
      <c r="R518" s="5" t="s">
        <v>19</v>
      </c>
      <c r="S518" s="5" t="s">
        <v>19</v>
      </c>
      <c r="T518" s="5" t="s">
        <v>19</v>
      </c>
      <c r="U518" s="5" t="s">
        <v>19</v>
      </c>
      <c r="V518" s="5" t="s">
        <v>19</v>
      </c>
      <c r="W518" s="5" t="s">
        <v>152</v>
      </c>
      <c r="X518"/>
    </row>
    <row r="519" spans="1:24">
      <c r="A519" t="s">
        <v>42</v>
      </c>
      <c r="B519" t="s">
        <v>43</v>
      </c>
      <c r="C519" t="s">
        <v>31</v>
      </c>
      <c r="D519" t="s">
        <v>25</v>
      </c>
      <c r="E519" t="s">
        <v>19</v>
      </c>
      <c r="F519" t="s">
        <v>19</v>
      </c>
      <c r="G519" t="s">
        <v>19</v>
      </c>
      <c r="H519" t="s">
        <v>19</v>
      </c>
      <c r="I519" t="s">
        <v>19</v>
      </c>
      <c r="J519" t="s">
        <v>97</v>
      </c>
      <c r="K519" s="21" t="s">
        <v>607</v>
      </c>
      <c r="L519" s="5" t="s">
        <v>19</v>
      </c>
      <c r="M519" s="5" t="s">
        <v>19</v>
      </c>
      <c r="N519" s="5" t="s">
        <v>19</v>
      </c>
      <c r="O519" s="5" t="str">
        <f>HYPERLINK("http://www.lghausys.co.kr/popup/rn/download/downloadPopup.jsp?from=plwindow&amp;uu=/upload/window/REPORT/LGH-WA17-070.pdf","1등급")</f>
        <v>1등급</v>
      </c>
      <c r="P519" s="5" t="s">
        <v>19</v>
      </c>
      <c r="Q519" s="5" t="s">
        <v>19</v>
      </c>
      <c r="R519" s="5" t="s">
        <v>19</v>
      </c>
      <c r="S519" s="5" t="s">
        <v>19</v>
      </c>
      <c r="T519" s="5" t="s">
        <v>19</v>
      </c>
      <c r="U519" s="5" t="s">
        <v>19</v>
      </c>
      <c r="V519" s="5" t="s">
        <v>19</v>
      </c>
      <c r="W519" s="5" t="s">
        <v>152</v>
      </c>
      <c r="X519"/>
    </row>
    <row r="520" spans="1:24">
      <c r="A520" t="s">
        <v>42</v>
      </c>
      <c r="B520" t="s">
        <v>43</v>
      </c>
      <c r="C520" t="s">
        <v>31</v>
      </c>
      <c r="D520" t="s">
        <v>28</v>
      </c>
      <c r="E520" t="s">
        <v>19</v>
      </c>
      <c r="F520" t="s">
        <v>19</v>
      </c>
      <c r="G520" t="s">
        <v>19</v>
      </c>
      <c r="H520" t="s">
        <v>19</v>
      </c>
      <c r="I520" t="s">
        <v>19</v>
      </c>
      <c r="J520" t="s">
        <v>74</v>
      </c>
      <c r="K520" s="21" t="s">
        <v>607</v>
      </c>
      <c r="L520" s="5" t="s">
        <v>19</v>
      </c>
      <c r="M520" s="5" t="s">
        <v>19</v>
      </c>
      <c r="N520" s="5" t="s">
        <v>19</v>
      </c>
      <c r="O520" s="5" t="str">
        <f>HYPERLINK("http://www.lghausys.co.kr/popup/rn/download/downloadPopup.jsp?from=plwindow&amp;uu=/upload/window/REPORT/LGH-WA17-073.pdf","1등급")</f>
        <v>1등급</v>
      </c>
      <c r="P520" s="5" t="s">
        <v>19</v>
      </c>
      <c r="Q520" s="5" t="s">
        <v>19</v>
      </c>
      <c r="R520" s="5" t="s">
        <v>19</v>
      </c>
      <c r="S520" s="5" t="s">
        <v>19</v>
      </c>
      <c r="T520" s="5" t="s">
        <v>19</v>
      </c>
      <c r="U520" s="5" t="s">
        <v>19</v>
      </c>
      <c r="V520" s="5" t="s">
        <v>19</v>
      </c>
      <c r="W520" s="5" t="s">
        <v>152</v>
      </c>
      <c r="X520"/>
    </row>
    <row r="521" spans="1:24">
      <c r="A521" t="s">
        <v>133</v>
      </c>
      <c r="B521" t="s">
        <v>19</v>
      </c>
      <c r="C521" t="s">
        <v>34</v>
      </c>
      <c r="D521" t="s">
        <v>28</v>
      </c>
      <c r="E521" t="s">
        <v>96</v>
      </c>
      <c r="F521" t="s">
        <v>19</v>
      </c>
      <c r="G521" t="s">
        <v>19</v>
      </c>
      <c r="H521" t="s">
        <v>28</v>
      </c>
      <c r="I521" t="s">
        <v>19</v>
      </c>
      <c r="J521" t="s">
        <v>99</v>
      </c>
      <c r="K521" s="21" t="s">
        <v>607</v>
      </c>
      <c r="L521" s="5" t="s">
        <v>19</v>
      </c>
      <c r="M521" s="5" t="s">
        <v>19</v>
      </c>
      <c r="N521" s="5" t="str">
        <f>HYPERLINK("http://www.lghausys.co.kr/popup/rn/download/downloadPopup.jsp?from=plwindow&amp;uu=/upload/window/REPORT/LGH-TA17-076.pdf","0.942")</f>
        <v>0.942</v>
      </c>
      <c r="O521" s="5" t="s">
        <v>19</v>
      </c>
      <c r="P521" s="5" t="s">
        <v>19</v>
      </c>
      <c r="Q521" s="5" t="s">
        <v>19</v>
      </c>
      <c r="R521" s="5" t="s">
        <v>19</v>
      </c>
      <c r="S521" s="5" t="s">
        <v>19</v>
      </c>
      <c r="T521" s="5" t="s">
        <v>19</v>
      </c>
      <c r="U521" s="5" t="s">
        <v>19</v>
      </c>
      <c r="V521" s="5" t="s">
        <v>19</v>
      </c>
      <c r="W521" s="5" t="s">
        <v>75</v>
      </c>
      <c r="X521"/>
    </row>
    <row r="522" spans="1:24">
      <c r="A522" t="s">
        <v>133</v>
      </c>
      <c r="B522" t="s">
        <v>19</v>
      </c>
      <c r="C522" t="s">
        <v>34</v>
      </c>
      <c r="D522" t="s">
        <v>28</v>
      </c>
      <c r="E522" t="s">
        <v>147</v>
      </c>
      <c r="F522" t="s">
        <v>19</v>
      </c>
      <c r="G522" t="s">
        <v>19</v>
      </c>
      <c r="H522" t="s">
        <v>28</v>
      </c>
      <c r="I522" t="s">
        <v>19</v>
      </c>
      <c r="J522" t="s">
        <v>74</v>
      </c>
      <c r="K522" s="21" t="s">
        <v>607</v>
      </c>
      <c r="L522" s="5" t="s">
        <v>19</v>
      </c>
      <c r="M522" s="5" t="s">
        <v>19</v>
      </c>
      <c r="N522" s="5" t="str">
        <f>HYPERLINK("http://www.lghausys.co.kr/popup/rn/download/downloadPopup.jsp?from=plwindow&amp;uu=/upload/window/REPORT/LGH-TA17-077.pdf","1.0133")</f>
        <v>1.0133</v>
      </c>
      <c r="O522" s="5" t="s">
        <v>19</v>
      </c>
      <c r="P522" s="5" t="s">
        <v>19</v>
      </c>
      <c r="Q522" s="5" t="s">
        <v>19</v>
      </c>
      <c r="R522" s="5" t="s">
        <v>19</v>
      </c>
      <c r="S522" s="5" t="s">
        <v>19</v>
      </c>
      <c r="T522" s="5" t="s">
        <v>19</v>
      </c>
      <c r="U522" s="5" t="s">
        <v>19</v>
      </c>
      <c r="V522" s="5" t="s">
        <v>19</v>
      </c>
      <c r="W522" s="5" t="s">
        <v>75</v>
      </c>
      <c r="X522"/>
    </row>
    <row r="523" spans="1:24">
      <c r="A523" t="s">
        <v>133</v>
      </c>
      <c r="B523" t="s">
        <v>19</v>
      </c>
      <c r="C523" t="s">
        <v>34</v>
      </c>
      <c r="D523" t="s">
        <v>25</v>
      </c>
      <c r="E523" t="s">
        <v>147</v>
      </c>
      <c r="F523" t="s">
        <v>19</v>
      </c>
      <c r="G523" t="s">
        <v>19</v>
      </c>
      <c r="H523" t="s">
        <v>28</v>
      </c>
      <c r="I523" t="s">
        <v>19</v>
      </c>
      <c r="J523" t="s">
        <v>74</v>
      </c>
      <c r="K523" s="21" t="s">
        <v>607</v>
      </c>
      <c r="L523" s="5" t="s">
        <v>19</v>
      </c>
      <c r="M523" s="5" t="s">
        <v>19</v>
      </c>
      <c r="N523" s="5" t="str">
        <f>HYPERLINK("http://www.lghausys.co.kr/popup/rn/download/downloadPopup.jsp?from=plwindow&amp;uu=/upload/window/REPORT/LGH-TA17-078.pdf","1.0612")</f>
        <v>1.0612</v>
      </c>
      <c r="O523" s="5" t="s">
        <v>19</v>
      </c>
      <c r="P523" s="5" t="s">
        <v>19</v>
      </c>
      <c r="Q523" s="5" t="s">
        <v>19</v>
      </c>
      <c r="R523" s="5" t="s">
        <v>19</v>
      </c>
      <c r="S523" s="5" t="s">
        <v>19</v>
      </c>
      <c r="T523" s="5" t="s">
        <v>19</v>
      </c>
      <c r="U523" s="5" t="s">
        <v>19</v>
      </c>
      <c r="V523" s="5" t="s">
        <v>19</v>
      </c>
      <c r="W523" s="5" t="s">
        <v>75</v>
      </c>
      <c r="X523"/>
    </row>
    <row r="524" spans="1:24">
      <c r="A524" t="s">
        <v>133</v>
      </c>
      <c r="B524" t="s">
        <v>19</v>
      </c>
      <c r="C524" t="s">
        <v>34</v>
      </c>
      <c r="D524" t="s">
        <v>25</v>
      </c>
      <c r="E524" t="s">
        <v>147</v>
      </c>
      <c r="F524" t="s">
        <v>19</v>
      </c>
      <c r="G524" t="s">
        <v>19</v>
      </c>
      <c r="H524" t="s">
        <v>25</v>
      </c>
      <c r="I524" t="s">
        <v>19</v>
      </c>
      <c r="J524" t="s">
        <v>74</v>
      </c>
      <c r="K524" s="21" t="s">
        <v>607</v>
      </c>
      <c r="L524" s="5" t="s">
        <v>19</v>
      </c>
      <c r="M524" s="5" t="s">
        <v>19</v>
      </c>
      <c r="N524" s="5" t="str">
        <f>HYPERLINK("http://www.lghausys.co.kr/popup/rn/download/downloadPopup.jsp?from=plwindow&amp;uu=/upload/window/REPORT/LGH-TA17-079.pdf","1.2617")</f>
        <v>1.2617</v>
      </c>
      <c r="O524" s="5" t="s">
        <v>19</v>
      </c>
      <c r="P524" s="5" t="s">
        <v>19</v>
      </c>
      <c r="Q524" s="5" t="s">
        <v>19</v>
      </c>
      <c r="R524" s="5" t="s">
        <v>19</v>
      </c>
      <c r="S524" s="5" t="s">
        <v>19</v>
      </c>
      <c r="T524" s="5" t="s">
        <v>19</v>
      </c>
      <c r="U524" s="5" t="s">
        <v>19</v>
      </c>
      <c r="V524" s="5" t="s">
        <v>19</v>
      </c>
      <c r="W524" s="5" t="s">
        <v>75</v>
      </c>
      <c r="X524"/>
    </row>
    <row r="525" spans="1:24">
      <c r="A525" t="s">
        <v>133</v>
      </c>
      <c r="B525" t="s">
        <v>19</v>
      </c>
      <c r="C525" t="s">
        <v>31</v>
      </c>
      <c r="D525" t="s">
        <v>25</v>
      </c>
      <c r="E525" t="s">
        <v>178</v>
      </c>
      <c r="F525" t="s">
        <v>19</v>
      </c>
      <c r="G525" t="s">
        <v>19</v>
      </c>
      <c r="H525" t="s">
        <v>25</v>
      </c>
      <c r="I525" t="s">
        <v>19</v>
      </c>
      <c r="J525" t="s">
        <v>99</v>
      </c>
      <c r="K525" s="21" t="s">
        <v>607</v>
      </c>
      <c r="L525" s="5" t="s">
        <v>19</v>
      </c>
      <c r="M525" s="5" t="s">
        <v>19</v>
      </c>
      <c r="N525" s="5" t="s">
        <v>19</v>
      </c>
      <c r="O525" s="5" t="str">
        <f>HYPERLINK("http://www.lghausys.co.kr/popup/rn/download/downloadPopup.jsp?from=plwindow&amp;uu=/upload/window/REPORT/LGH-WA17-076.pdf","1등급")</f>
        <v>1등급</v>
      </c>
      <c r="P525" s="5" t="str">
        <f>HYPERLINK("http://www.lghausys.co.kr/popup/rn/download/downloadPopup.jsp?from=plwindow&amp;uu=/upload/window/REPORT/LGH-WA17-076.pdf","50등급")</f>
        <v>50등급</v>
      </c>
      <c r="Q525" s="5" t="str">
        <f>HYPERLINK("http://www.lghausys.co.kr/popup/rn/download/downloadPopup.jsp?from=plwindow&amp;uu=/upload/window/REPORT/LGH-WA17-076.pdf","/400등급")</f>
        <v>/400등급</v>
      </c>
      <c r="R525" s="5" t="s">
        <v>19</v>
      </c>
      <c r="S525" s="5" t="s">
        <v>19</v>
      </c>
      <c r="T525" s="5" t="s">
        <v>19</v>
      </c>
      <c r="U525" s="5" t="s">
        <v>19</v>
      </c>
      <c r="V525" s="5" t="s">
        <v>19</v>
      </c>
      <c r="W525" s="5" t="s">
        <v>152</v>
      </c>
      <c r="X525"/>
    </row>
    <row r="526" spans="1:24">
      <c r="A526" t="s">
        <v>136</v>
      </c>
      <c r="B526" t="s">
        <v>19</v>
      </c>
      <c r="C526" t="s">
        <v>31</v>
      </c>
      <c r="D526" t="s">
        <v>25</v>
      </c>
      <c r="E526" t="s">
        <v>178</v>
      </c>
      <c r="F526" t="s">
        <v>19</v>
      </c>
      <c r="G526" t="s">
        <v>19</v>
      </c>
      <c r="H526" t="s">
        <v>19</v>
      </c>
      <c r="I526" t="s">
        <v>19</v>
      </c>
      <c r="J526" t="s">
        <v>99</v>
      </c>
      <c r="K526" s="21" t="s">
        <v>607</v>
      </c>
      <c r="L526" s="5" t="s">
        <v>19</v>
      </c>
      <c r="M526" s="5" t="s">
        <v>19</v>
      </c>
      <c r="N526" s="5" t="s">
        <v>19</v>
      </c>
      <c r="O526" s="5" t="str">
        <f>HYPERLINK("http://www.lghausys.co.kr/popup/rn/download/downloadPopup.jsp?from=plwindow&amp;uu=/upload/window/REPORT/LGH-WA17-077.pdf","2등급")</f>
        <v>2등급</v>
      </c>
      <c r="P526" s="5" t="str">
        <f>HYPERLINK("http://www.lghausys.co.kr/popup/rn/download/downloadPopup.jsp?from=plwindow&amp;uu=/upload/window/REPORT/LGH-WA17-077.pdf","15등급")</f>
        <v>15등급</v>
      </c>
      <c r="Q526" s="5" t="str">
        <f>HYPERLINK("http://www.lghausys.co.kr/popup/rn/download/downloadPopup.jsp?from=plwindow&amp;uu=/upload/window/REPORT/LGH-WA17-077.pdf","300등급")</f>
        <v>300등급</v>
      </c>
      <c r="R526" s="5" t="s">
        <v>19</v>
      </c>
      <c r="S526" s="5" t="s">
        <v>19</v>
      </c>
      <c r="T526" s="5" t="s">
        <v>19</v>
      </c>
      <c r="U526" s="5" t="s">
        <v>19</v>
      </c>
      <c r="V526" s="5" t="s">
        <v>19</v>
      </c>
      <c r="W526" s="5" t="s">
        <v>152</v>
      </c>
      <c r="X526"/>
    </row>
    <row r="527" spans="1:24">
      <c r="A527" t="s">
        <v>42</v>
      </c>
      <c r="B527" t="s">
        <v>43</v>
      </c>
      <c r="C527" t="s">
        <v>31</v>
      </c>
      <c r="D527" t="s">
        <v>28</v>
      </c>
      <c r="E527" t="s">
        <v>19</v>
      </c>
      <c r="F527" t="s">
        <v>19</v>
      </c>
      <c r="G527" t="s">
        <v>19</v>
      </c>
      <c r="H527" t="s">
        <v>19</v>
      </c>
      <c r="I527" t="s">
        <v>19</v>
      </c>
      <c r="J527" t="s">
        <v>74</v>
      </c>
      <c r="K527" s="21" t="s">
        <v>607</v>
      </c>
      <c r="L527" s="5" t="s">
        <v>19</v>
      </c>
      <c r="M527" s="5" t="s">
        <v>19</v>
      </c>
      <c r="N527" s="5" t="s">
        <v>19</v>
      </c>
      <c r="O527" s="5" t="str">
        <f>HYPERLINK("http://www.lghausys.co.kr/popup/rn/download/downloadPopup.jsp?from=plwindow&amp;uu=/upload/window/REPORT/LGH-WA17-081.pdf","1등급")</f>
        <v>1등급</v>
      </c>
      <c r="P527" s="5" t="s">
        <v>19</v>
      </c>
      <c r="Q527" s="5" t="s">
        <v>19</v>
      </c>
      <c r="R527" s="5" t="s">
        <v>19</v>
      </c>
      <c r="S527" s="5" t="s">
        <v>19</v>
      </c>
      <c r="T527" s="5" t="s">
        <v>19</v>
      </c>
      <c r="U527" s="5" t="s">
        <v>19</v>
      </c>
      <c r="V527" s="5" t="s">
        <v>19</v>
      </c>
      <c r="W527" s="5" t="s">
        <v>152</v>
      </c>
      <c r="X527"/>
    </row>
    <row r="528" spans="1:24">
      <c r="A528" t="s">
        <v>42</v>
      </c>
      <c r="B528" t="s">
        <v>43</v>
      </c>
      <c r="C528" t="s">
        <v>31</v>
      </c>
      <c r="D528" t="s">
        <v>21</v>
      </c>
      <c r="E528" t="s">
        <v>19</v>
      </c>
      <c r="F528" t="s">
        <v>19</v>
      </c>
      <c r="G528" t="s">
        <v>19</v>
      </c>
      <c r="H528" t="s">
        <v>19</v>
      </c>
      <c r="I528" t="s">
        <v>19</v>
      </c>
      <c r="J528" t="s">
        <v>74</v>
      </c>
      <c r="K528" s="21" t="s">
        <v>607</v>
      </c>
      <c r="L528" s="5" t="s">
        <v>19</v>
      </c>
      <c r="M528" s="5" t="s">
        <v>19</v>
      </c>
      <c r="N528" s="5" t="s">
        <v>19</v>
      </c>
      <c r="O528" s="5" t="str">
        <f>HYPERLINK("http://www.lghausys.co.kr/popup/rn/download/downloadPopup.jsp?from=plwindow&amp;uu=/upload/window/REPORT/LGH-WA17-082.pdf","1등급")</f>
        <v>1등급</v>
      </c>
      <c r="P528" s="5" t="s">
        <v>19</v>
      </c>
      <c r="Q528" s="5" t="s">
        <v>19</v>
      </c>
      <c r="R528" s="5" t="s">
        <v>19</v>
      </c>
      <c r="S528" s="5" t="s">
        <v>19</v>
      </c>
      <c r="T528" s="5" t="s">
        <v>19</v>
      </c>
      <c r="U528" s="5" t="s">
        <v>19</v>
      </c>
      <c r="V528" s="5" t="s">
        <v>19</v>
      </c>
      <c r="W528" s="5" t="s">
        <v>152</v>
      </c>
      <c r="X528"/>
    </row>
    <row r="529" spans="1:24">
      <c r="A529" t="s">
        <v>42</v>
      </c>
      <c r="B529" t="s">
        <v>43</v>
      </c>
      <c r="C529" t="s">
        <v>31</v>
      </c>
      <c r="D529" t="s">
        <v>53</v>
      </c>
      <c r="E529" t="s">
        <v>19</v>
      </c>
      <c r="F529" t="s">
        <v>19</v>
      </c>
      <c r="G529" t="s">
        <v>19</v>
      </c>
      <c r="H529" t="s">
        <v>19</v>
      </c>
      <c r="I529" t="s">
        <v>19</v>
      </c>
      <c r="J529" t="s">
        <v>74</v>
      </c>
      <c r="K529" s="21" t="s">
        <v>607</v>
      </c>
      <c r="L529" s="5" t="s">
        <v>19</v>
      </c>
      <c r="M529" s="5" t="s">
        <v>19</v>
      </c>
      <c r="N529" s="5" t="s">
        <v>19</v>
      </c>
      <c r="O529" s="5" t="str">
        <f>HYPERLINK("http://www.lghausys.co.kr/popup/rn/download/downloadPopup.jsp?from=plwindow&amp;uu=/upload/window/REPORT/LGH-WA17-083.pdf","1등급")</f>
        <v>1등급</v>
      </c>
      <c r="P529" s="5" t="s">
        <v>19</v>
      </c>
      <c r="Q529" s="5" t="s">
        <v>19</v>
      </c>
      <c r="R529" s="5" t="s">
        <v>19</v>
      </c>
      <c r="S529" s="5" t="s">
        <v>19</v>
      </c>
      <c r="T529" s="5" t="s">
        <v>19</v>
      </c>
      <c r="U529" s="5" t="s">
        <v>19</v>
      </c>
      <c r="V529" s="5" t="s">
        <v>19</v>
      </c>
      <c r="W529" s="5" t="s">
        <v>152</v>
      </c>
      <c r="X529"/>
    </row>
    <row r="530" spans="1:24">
      <c r="A530" t="s">
        <v>133</v>
      </c>
      <c r="B530" t="s">
        <v>19</v>
      </c>
      <c r="C530" t="s">
        <v>31</v>
      </c>
      <c r="D530" t="s">
        <v>25</v>
      </c>
      <c r="E530" t="s">
        <v>147</v>
      </c>
      <c r="F530" t="s">
        <v>19</v>
      </c>
      <c r="G530" t="s">
        <v>19</v>
      </c>
      <c r="H530" t="s">
        <v>25</v>
      </c>
      <c r="I530" t="s">
        <v>19</v>
      </c>
      <c r="J530" t="s">
        <v>74</v>
      </c>
      <c r="K530" s="21" t="s">
        <v>607</v>
      </c>
      <c r="L530" s="5" t="s">
        <v>19</v>
      </c>
      <c r="M530" s="5" t="s">
        <v>19</v>
      </c>
      <c r="N530" s="5" t="s">
        <v>19</v>
      </c>
      <c r="O530" s="5" t="str">
        <f>HYPERLINK("http://www.lghausys.co.kr/popup/rn/download/downloadPopup.jsp?from=plwindow&amp;uu=/upload/window/REPORT/LGH-WA17-087.pdf","1등급")</f>
        <v>1등급</v>
      </c>
      <c r="P530" s="5" t="s">
        <v>19</v>
      </c>
      <c r="Q530" s="5" t="s">
        <v>19</v>
      </c>
      <c r="R530" s="5" t="s">
        <v>19</v>
      </c>
      <c r="S530" s="5" t="s">
        <v>19</v>
      </c>
      <c r="T530" s="5" t="s">
        <v>19</v>
      </c>
      <c r="U530" s="5" t="s">
        <v>19</v>
      </c>
      <c r="V530" s="5" t="s">
        <v>19</v>
      </c>
      <c r="W530" s="5" t="s">
        <v>152</v>
      </c>
      <c r="X530"/>
    </row>
    <row r="531" spans="1:24">
      <c r="A531" t="s">
        <v>133</v>
      </c>
      <c r="B531" t="s">
        <v>19</v>
      </c>
      <c r="C531" t="s">
        <v>31</v>
      </c>
      <c r="D531" t="s">
        <v>25</v>
      </c>
      <c r="E531" t="s">
        <v>147</v>
      </c>
      <c r="F531" t="s">
        <v>19</v>
      </c>
      <c r="G531" t="s">
        <v>19</v>
      </c>
      <c r="H531" t="s">
        <v>28</v>
      </c>
      <c r="I531" t="s">
        <v>19</v>
      </c>
      <c r="J531" t="s">
        <v>74</v>
      </c>
      <c r="K531" s="21" t="s">
        <v>607</v>
      </c>
      <c r="L531" s="5" t="s">
        <v>19</v>
      </c>
      <c r="M531" s="5" t="s">
        <v>19</v>
      </c>
      <c r="N531" s="5" t="s">
        <v>19</v>
      </c>
      <c r="O531" s="5" t="str">
        <f>HYPERLINK("http://www.lghausys.co.kr/popup/rn/download/downloadPopup.jsp?from=plwindow&amp;uu=/upload/window/REPORT/LGH-WA17-088.pdf","1등급")</f>
        <v>1등급</v>
      </c>
      <c r="P531" s="5" t="s">
        <v>19</v>
      </c>
      <c r="Q531" s="5" t="s">
        <v>19</v>
      </c>
      <c r="R531" s="5" t="s">
        <v>19</v>
      </c>
      <c r="S531" s="5" t="s">
        <v>19</v>
      </c>
      <c r="T531" s="5" t="s">
        <v>19</v>
      </c>
      <c r="U531" s="5" t="s">
        <v>19</v>
      </c>
      <c r="V531" s="5" t="s">
        <v>19</v>
      </c>
      <c r="W531" s="5" t="s">
        <v>152</v>
      </c>
      <c r="X531"/>
    </row>
    <row r="532" spans="1:24">
      <c r="A532" t="s">
        <v>133</v>
      </c>
      <c r="B532" t="s">
        <v>19</v>
      </c>
      <c r="C532" t="s">
        <v>31</v>
      </c>
      <c r="D532" t="s">
        <v>28</v>
      </c>
      <c r="E532" t="s">
        <v>147</v>
      </c>
      <c r="F532" t="s">
        <v>19</v>
      </c>
      <c r="G532" t="s">
        <v>19</v>
      </c>
      <c r="H532" t="s">
        <v>28</v>
      </c>
      <c r="I532" t="s">
        <v>19</v>
      </c>
      <c r="J532" t="s">
        <v>74</v>
      </c>
      <c r="K532" s="21" t="s">
        <v>607</v>
      </c>
      <c r="L532" s="5" t="s">
        <v>19</v>
      </c>
      <c r="M532" s="5" t="s">
        <v>19</v>
      </c>
      <c r="N532" s="5" t="s">
        <v>19</v>
      </c>
      <c r="O532" s="5" t="str">
        <f>HYPERLINK("http://www.lghausys.co.kr/popup/rn/download/downloadPopup.jsp?from=plwindow&amp;uu=/upload/window/REPORT/LGH-WA17-089.pdf","1등급")</f>
        <v>1등급</v>
      </c>
      <c r="P532" s="5" t="s">
        <v>19</v>
      </c>
      <c r="Q532" s="5" t="s">
        <v>19</v>
      </c>
      <c r="R532" s="5" t="s">
        <v>19</v>
      </c>
      <c r="S532" s="5" t="s">
        <v>19</v>
      </c>
      <c r="T532" s="5" t="s">
        <v>19</v>
      </c>
      <c r="U532" s="5" t="s">
        <v>19</v>
      </c>
      <c r="V532" s="5" t="s">
        <v>19</v>
      </c>
      <c r="W532" s="5" t="s">
        <v>152</v>
      </c>
      <c r="X532"/>
    </row>
    <row r="533" spans="1:24">
      <c r="A533" t="s">
        <v>135</v>
      </c>
      <c r="B533" t="s">
        <v>19</v>
      </c>
      <c r="C533" t="s">
        <v>31</v>
      </c>
      <c r="D533" t="s">
        <v>25</v>
      </c>
      <c r="E533" t="s">
        <v>147</v>
      </c>
      <c r="F533" t="s">
        <v>19</v>
      </c>
      <c r="G533" t="s">
        <v>19</v>
      </c>
      <c r="H533" t="s">
        <v>25</v>
      </c>
      <c r="I533" t="s">
        <v>19</v>
      </c>
      <c r="J533" t="s">
        <v>74</v>
      </c>
      <c r="K533" s="21" t="s">
        <v>607</v>
      </c>
      <c r="L533" s="5" t="s">
        <v>19</v>
      </c>
      <c r="M533" s="5" t="s">
        <v>19</v>
      </c>
      <c r="N533" s="5" t="s">
        <v>19</v>
      </c>
      <c r="O533" s="5" t="str">
        <f>HYPERLINK("http://www.lghausys.co.kr/popup/rn/download/downloadPopup.jsp?from=plwindow&amp;uu=/upload/window/REPORT/LGH-WA17-090.pdf","1등급")</f>
        <v>1등급</v>
      </c>
      <c r="P533" s="5" t="s">
        <v>19</v>
      </c>
      <c r="Q533" s="5" t="s">
        <v>19</v>
      </c>
      <c r="R533" s="5" t="s">
        <v>19</v>
      </c>
      <c r="S533" s="5" t="s">
        <v>19</v>
      </c>
      <c r="T533" s="5" t="s">
        <v>19</v>
      </c>
      <c r="U533" s="5" t="s">
        <v>19</v>
      </c>
      <c r="V533" s="5" t="s">
        <v>19</v>
      </c>
      <c r="W533" s="5" t="s">
        <v>152</v>
      </c>
      <c r="X533"/>
    </row>
    <row r="534" spans="1:24">
      <c r="A534" t="s">
        <v>135</v>
      </c>
      <c r="B534" t="s">
        <v>19</v>
      </c>
      <c r="C534" t="s">
        <v>31</v>
      </c>
      <c r="D534" t="s">
        <v>25</v>
      </c>
      <c r="E534" t="s">
        <v>147</v>
      </c>
      <c r="F534" t="s">
        <v>19</v>
      </c>
      <c r="G534" t="s">
        <v>19</v>
      </c>
      <c r="H534" t="s">
        <v>28</v>
      </c>
      <c r="I534" t="s">
        <v>19</v>
      </c>
      <c r="J534" t="s">
        <v>74</v>
      </c>
      <c r="K534" s="21" t="s">
        <v>607</v>
      </c>
      <c r="L534" s="5" t="s">
        <v>19</v>
      </c>
      <c r="M534" s="5" t="s">
        <v>19</v>
      </c>
      <c r="N534" s="5" t="s">
        <v>19</v>
      </c>
      <c r="O534" s="5" t="str">
        <f>HYPERLINK("http://www.lghausys.co.kr/popup/rn/download/downloadPopup.jsp?from=plwindow&amp;uu=/upload/window/REPORT/LGH-WA17-091.pdf","1등급")</f>
        <v>1등급</v>
      </c>
      <c r="P534" s="5" t="s">
        <v>19</v>
      </c>
      <c r="Q534" s="5" t="s">
        <v>19</v>
      </c>
      <c r="R534" s="5" t="s">
        <v>19</v>
      </c>
      <c r="S534" s="5" t="s">
        <v>19</v>
      </c>
      <c r="T534" s="5" t="s">
        <v>19</v>
      </c>
      <c r="U534" s="5" t="s">
        <v>19</v>
      </c>
      <c r="V534" s="5" t="s">
        <v>19</v>
      </c>
      <c r="W534" s="5" t="s">
        <v>152</v>
      </c>
      <c r="X534"/>
    </row>
    <row r="535" spans="1:24">
      <c r="A535" t="s">
        <v>135</v>
      </c>
      <c r="B535" t="s">
        <v>19</v>
      </c>
      <c r="C535" t="s">
        <v>31</v>
      </c>
      <c r="D535" t="s">
        <v>28</v>
      </c>
      <c r="E535" t="s">
        <v>147</v>
      </c>
      <c r="F535" t="s">
        <v>19</v>
      </c>
      <c r="G535" t="s">
        <v>19</v>
      </c>
      <c r="H535" t="s">
        <v>28</v>
      </c>
      <c r="I535" t="s">
        <v>19</v>
      </c>
      <c r="J535" t="s">
        <v>74</v>
      </c>
      <c r="K535" s="21" t="s">
        <v>607</v>
      </c>
      <c r="L535" s="5" t="s">
        <v>19</v>
      </c>
      <c r="M535" s="5" t="s">
        <v>19</v>
      </c>
      <c r="N535" s="5" t="s">
        <v>19</v>
      </c>
      <c r="O535" s="5" t="str">
        <f>HYPERLINK("http://www.lghausys.co.kr/popup/rn/download/downloadPopup.jsp?from=plwindow&amp;uu=/upload/window/REPORT/LGH-WA17-092.pdf","1등급")</f>
        <v>1등급</v>
      </c>
      <c r="P535" s="5" t="s">
        <v>19</v>
      </c>
      <c r="Q535" s="5" t="s">
        <v>19</v>
      </c>
      <c r="R535" s="5" t="s">
        <v>19</v>
      </c>
      <c r="S535" s="5" t="s">
        <v>19</v>
      </c>
      <c r="T535" s="5" t="s">
        <v>19</v>
      </c>
      <c r="U535" s="5" t="s">
        <v>19</v>
      </c>
      <c r="V535" s="5" t="s">
        <v>19</v>
      </c>
      <c r="W535" s="5" t="s">
        <v>152</v>
      </c>
      <c r="X535"/>
    </row>
    <row r="536" spans="1:24">
      <c r="A536" t="s">
        <v>73</v>
      </c>
      <c r="B536" t="s">
        <v>19</v>
      </c>
      <c r="C536" t="s">
        <v>31</v>
      </c>
      <c r="D536" t="s">
        <v>25</v>
      </c>
      <c r="E536" t="s">
        <v>19</v>
      </c>
      <c r="F536" t="s">
        <v>19</v>
      </c>
      <c r="G536" t="s">
        <v>19</v>
      </c>
      <c r="H536" t="s">
        <v>25</v>
      </c>
      <c r="I536" t="s">
        <v>19</v>
      </c>
      <c r="J536" t="s">
        <v>74</v>
      </c>
      <c r="K536" s="21" t="s">
        <v>607</v>
      </c>
      <c r="L536" s="5" t="s">
        <v>19</v>
      </c>
      <c r="M536" s="5" t="s">
        <v>19</v>
      </c>
      <c r="N536" s="5" t="s">
        <v>19</v>
      </c>
      <c r="O536" s="5" t="str">
        <f>HYPERLINK("http://www.lghausys.co.kr/popup/rn/download/downloadPopup.jsp?from=plwindow&amp;uu=/upload/window/REPORT/LGH-WA17-093.pdf","1등급")</f>
        <v>1등급</v>
      </c>
      <c r="P536" s="5" t="s">
        <v>19</v>
      </c>
      <c r="Q536" s="5" t="s">
        <v>19</v>
      </c>
      <c r="R536" s="5" t="s">
        <v>19</v>
      </c>
      <c r="S536" s="5" t="s">
        <v>19</v>
      </c>
      <c r="T536" s="5" t="s">
        <v>19</v>
      </c>
      <c r="U536" s="5" t="s">
        <v>19</v>
      </c>
      <c r="V536" s="5" t="s">
        <v>19</v>
      </c>
      <c r="W536" s="5" t="s">
        <v>152</v>
      </c>
      <c r="X536"/>
    </row>
    <row r="537" spans="1:24">
      <c r="A537" t="s">
        <v>73</v>
      </c>
      <c r="B537" t="s">
        <v>19</v>
      </c>
      <c r="C537" t="s">
        <v>31</v>
      </c>
      <c r="D537" t="s">
        <v>25</v>
      </c>
      <c r="E537" t="s">
        <v>19</v>
      </c>
      <c r="F537" t="s">
        <v>19</v>
      </c>
      <c r="G537" t="s">
        <v>19</v>
      </c>
      <c r="H537" t="s">
        <v>28</v>
      </c>
      <c r="I537" t="s">
        <v>19</v>
      </c>
      <c r="J537" t="s">
        <v>74</v>
      </c>
      <c r="K537" s="21" t="s">
        <v>607</v>
      </c>
      <c r="L537" s="5" t="s">
        <v>19</v>
      </c>
      <c r="M537" s="5" t="s">
        <v>19</v>
      </c>
      <c r="N537" s="5" t="s">
        <v>19</v>
      </c>
      <c r="O537" s="5" t="str">
        <f>HYPERLINK("http://www.lghausys.co.kr/popup/rn/download/downloadPopup.jsp?from=plwindow&amp;uu=/upload/window/REPORT/LGH-WA17-094.pdf","1등급")</f>
        <v>1등급</v>
      </c>
      <c r="P537" s="5" t="s">
        <v>19</v>
      </c>
      <c r="Q537" s="5" t="s">
        <v>19</v>
      </c>
      <c r="R537" s="5" t="s">
        <v>19</v>
      </c>
      <c r="S537" s="5" t="s">
        <v>19</v>
      </c>
      <c r="T537" s="5" t="s">
        <v>19</v>
      </c>
      <c r="U537" s="5" t="s">
        <v>19</v>
      </c>
      <c r="V537" s="5" t="s">
        <v>19</v>
      </c>
      <c r="W537" s="5" t="s">
        <v>152</v>
      </c>
      <c r="X537"/>
    </row>
    <row r="538" spans="1:24">
      <c r="A538" t="s">
        <v>73</v>
      </c>
      <c r="B538" t="s">
        <v>19</v>
      </c>
      <c r="C538" t="s">
        <v>31</v>
      </c>
      <c r="D538" t="s">
        <v>28</v>
      </c>
      <c r="E538" t="s">
        <v>19</v>
      </c>
      <c r="F538" t="s">
        <v>19</v>
      </c>
      <c r="G538" t="s">
        <v>19</v>
      </c>
      <c r="H538" t="s">
        <v>28</v>
      </c>
      <c r="I538" t="s">
        <v>19</v>
      </c>
      <c r="J538" t="s">
        <v>74</v>
      </c>
      <c r="K538" s="21" t="s">
        <v>607</v>
      </c>
      <c r="L538" s="5" t="s">
        <v>19</v>
      </c>
      <c r="M538" s="5" t="s">
        <v>19</v>
      </c>
      <c r="N538" s="5" t="s">
        <v>19</v>
      </c>
      <c r="O538" s="5" t="str">
        <f>HYPERLINK("http://www.lghausys.co.kr/popup/rn/download/downloadPopup.jsp?from=plwindow&amp;uu=/upload/window/REPORT/LGH-WA17-095.pdf","1등급")</f>
        <v>1등급</v>
      </c>
      <c r="P538" s="5" t="s">
        <v>19</v>
      </c>
      <c r="Q538" s="5" t="s">
        <v>19</v>
      </c>
      <c r="R538" s="5" t="s">
        <v>19</v>
      </c>
      <c r="S538" s="5" t="s">
        <v>19</v>
      </c>
      <c r="T538" s="5" t="s">
        <v>19</v>
      </c>
      <c r="U538" s="5" t="s">
        <v>19</v>
      </c>
      <c r="V538" s="5" t="s">
        <v>19</v>
      </c>
      <c r="W538" s="5" t="s">
        <v>152</v>
      </c>
      <c r="X538"/>
    </row>
    <row r="539" spans="1:24">
      <c r="A539" t="s">
        <v>174</v>
      </c>
      <c r="B539" t="s">
        <v>19</v>
      </c>
      <c r="C539" t="s">
        <v>31</v>
      </c>
      <c r="D539" t="s">
        <v>25</v>
      </c>
      <c r="E539" t="s">
        <v>19</v>
      </c>
      <c r="F539" t="s">
        <v>19</v>
      </c>
      <c r="G539" t="s">
        <v>19</v>
      </c>
      <c r="H539" t="s">
        <v>25</v>
      </c>
      <c r="I539" t="s">
        <v>19</v>
      </c>
      <c r="J539" t="s">
        <v>74</v>
      </c>
      <c r="K539" s="21" t="s">
        <v>607</v>
      </c>
      <c r="L539" s="5" t="s">
        <v>19</v>
      </c>
      <c r="M539" s="5" t="s">
        <v>19</v>
      </c>
      <c r="N539" s="5" t="s">
        <v>19</v>
      </c>
      <c r="O539" s="5" t="str">
        <f>HYPERLINK("http://www.lghausys.co.kr/popup/rn/download/downloadPopup.jsp?from=plwindow&amp;uu=/upload/window/REPORT/LGH-WA17-096.pdf","1등급")</f>
        <v>1등급</v>
      </c>
      <c r="P539" s="5" t="s">
        <v>19</v>
      </c>
      <c r="Q539" s="5" t="s">
        <v>19</v>
      </c>
      <c r="R539" s="5" t="s">
        <v>19</v>
      </c>
      <c r="S539" s="5" t="s">
        <v>19</v>
      </c>
      <c r="T539" s="5" t="s">
        <v>19</v>
      </c>
      <c r="U539" s="5" t="s">
        <v>19</v>
      </c>
      <c r="V539" s="5" t="s">
        <v>19</v>
      </c>
      <c r="W539" s="5" t="s">
        <v>152</v>
      </c>
      <c r="X539"/>
    </row>
    <row r="540" spans="1:24">
      <c r="A540" t="s">
        <v>174</v>
      </c>
      <c r="B540" t="s">
        <v>19</v>
      </c>
      <c r="C540" t="s">
        <v>31</v>
      </c>
      <c r="D540" t="s">
        <v>25</v>
      </c>
      <c r="E540" t="s">
        <v>19</v>
      </c>
      <c r="F540" t="s">
        <v>19</v>
      </c>
      <c r="G540" t="s">
        <v>19</v>
      </c>
      <c r="H540" t="s">
        <v>28</v>
      </c>
      <c r="I540" t="s">
        <v>19</v>
      </c>
      <c r="J540" t="s">
        <v>74</v>
      </c>
      <c r="K540" s="21" t="s">
        <v>607</v>
      </c>
      <c r="L540" s="5" t="s">
        <v>19</v>
      </c>
      <c r="M540" s="5" t="s">
        <v>19</v>
      </c>
      <c r="N540" s="5" t="s">
        <v>19</v>
      </c>
      <c r="O540" s="5" t="str">
        <f>HYPERLINK("http://www.lghausys.co.kr/popup/rn/download/downloadPopup.jsp?from=plwindow&amp;uu=/upload/window/REPORT/LGH-WA17-097.pdf","1등급")</f>
        <v>1등급</v>
      </c>
      <c r="P540" s="5" t="s">
        <v>19</v>
      </c>
      <c r="Q540" s="5" t="s">
        <v>19</v>
      </c>
      <c r="R540" s="5" t="s">
        <v>19</v>
      </c>
      <c r="S540" s="5" t="s">
        <v>19</v>
      </c>
      <c r="T540" s="5" t="s">
        <v>19</v>
      </c>
      <c r="U540" s="5" t="s">
        <v>19</v>
      </c>
      <c r="V540" s="5" t="s">
        <v>19</v>
      </c>
      <c r="W540" s="5" t="s">
        <v>152</v>
      </c>
      <c r="X540"/>
    </row>
    <row r="541" spans="1:24">
      <c r="A541" t="s">
        <v>174</v>
      </c>
      <c r="B541" t="s">
        <v>19</v>
      </c>
      <c r="C541" t="s">
        <v>31</v>
      </c>
      <c r="D541" t="s">
        <v>28</v>
      </c>
      <c r="E541" t="s">
        <v>19</v>
      </c>
      <c r="F541" t="s">
        <v>19</v>
      </c>
      <c r="G541" t="s">
        <v>19</v>
      </c>
      <c r="H541" t="s">
        <v>28</v>
      </c>
      <c r="I541" t="s">
        <v>19</v>
      </c>
      <c r="J541" t="s">
        <v>74</v>
      </c>
      <c r="K541" s="21" t="s">
        <v>607</v>
      </c>
      <c r="L541" s="5" t="s">
        <v>19</v>
      </c>
      <c r="M541" s="5" t="s">
        <v>19</v>
      </c>
      <c r="N541" s="5" t="s">
        <v>19</v>
      </c>
      <c r="O541" s="5" t="str">
        <f>HYPERLINK("http://www.lghausys.co.kr/popup/rn/download/downloadPopup.jsp?from=plwindow&amp;uu=/upload/window/REPORT/LGH-WA17-098.pdf","1등급")</f>
        <v>1등급</v>
      </c>
      <c r="P541" s="5" t="s">
        <v>19</v>
      </c>
      <c r="Q541" s="5" t="s">
        <v>19</v>
      </c>
      <c r="R541" s="5" t="s">
        <v>19</v>
      </c>
      <c r="S541" s="5" t="s">
        <v>19</v>
      </c>
      <c r="T541" s="5" t="s">
        <v>19</v>
      </c>
      <c r="U541" s="5" t="s">
        <v>19</v>
      </c>
      <c r="V541" s="5" t="s">
        <v>19</v>
      </c>
      <c r="W541" s="5" t="s">
        <v>152</v>
      </c>
      <c r="X541"/>
    </row>
    <row r="542" spans="1:24">
      <c r="A542" t="s">
        <v>52</v>
      </c>
      <c r="B542" t="s">
        <v>19</v>
      </c>
      <c r="C542" t="s">
        <v>31</v>
      </c>
      <c r="D542" t="s">
        <v>25</v>
      </c>
      <c r="E542" t="s">
        <v>19</v>
      </c>
      <c r="F542" t="s">
        <v>19</v>
      </c>
      <c r="G542" t="s">
        <v>19</v>
      </c>
      <c r="H542" t="s">
        <v>25</v>
      </c>
      <c r="I542" t="s">
        <v>19</v>
      </c>
      <c r="J542" t="s">
        <v>74</v>
      </c>
      <c r="K542" s="21" t="s">
        <v>607</v>
      </c>
      <c r="L542" s="5" t="s">
        <v>19</v>
      </c>
      <c r="M542" s="5" t="s">
        <v>19</v>
      </c>
      <c r="N542" s="5" t="s">
        <v>19</v>
      </c>
      <c r="O542" s="5" t="str">
        <f>HYPERLINK("http://www.lghausys.co.kr/popup/rn/download/downloadPopup.jsp?from=plwindow&amp;uu=/upload/window/REPORT/LGH-WA17-099.pdf","1등급")</f>
        <v>1등급</v>
      </c>
      <c r="P542" s="5" t="s">
        <v>19</v>
      </c>
      <c r="Q542" s="5" t="s">
        <v>19</v>
      </c>
      <c r="R542" s="5" t="s">
        <v>19</v>
      </c>
      <c r="S542" s="5" t="s">
        <v>19</v>
      </c>
      <c r="T542" s="5" t="s">
        <v>19</v>
      </c>
      <c r="U542" s="5" t="s">
        <v>19</v>
      </c>
      <c r="V542" s="5" t="s">
        <v>19</v>
      </c>
      <c r="W542" s="5" t="s">
        <v>152</v>
      </c>
      <c r="X542"/>
    </row>
    <row r="543" spans="1:24">
      <c r="A543" t="s">
        <v>52</v>
      </c>
      <c r="B543" t="s">
        <v>19</v>
      </c>
      <c r="C543" t="s">
        <v>31</v>
      </c>
      <c r="D543" t="s">
        <v>25</v>
      </c>
      <c r="E543" t="s">
        <v>19</v>
      </c>
      <c r="F543" t="s">
        <v>19</v>
      </c>
      <c r="G543" t="s">
        <v>19</v>
      </c>
      <c r="H543" t="s">
        <v>28</v>
      </c>
      <c r="I543" t="s">
        <v>19</v>
      </c>
      <c r="J543" t="s">
        <v>74</v>
      </c>
      <c r="K543" s="21" t="s">
        <v>607</v>
      </c>
      <c r="L543" s="5" t="s">
        <v>19</v>
      </c>
      <c r="M543" s="5" t="s">
        <v>19</v>
      </c>
      <c r="N543" s="5" t="s">
        <v>19</v>
      </c>
      <c r="O543" s="5" t="str">
        <f>HYPERLINK("http://www.lghausys.co.kr/popup/rn/download/downloadPopup.jsp?from=plwindow&amp;uu=/upload/window/REPORT/LGH-WA17-100.pdf","1등급")</f>
        <v>1등급</v>
      </c>
      <c r="P543" s="5" t="s">
        <v>19</v>
      </c>
      <c r="Q543" s="5" t="s">
        <v>19</v>
      </c>
      <c r="R543" s="5" t="s">
        <v>19</v>
      </c>
      <c r="S543" s="5" t="s">
        <v>19</v>
      </c>
      <c r="T543" s="5" t="s">
        <v>19</v>
      </c>
      <c r="U543" s="5" t="s">
        <v>19</v>
      </c>
      <c r="V543" s="5" t="s">
        <v>19</v>
      </c>
      <c r="W543" s="5" t="s">
        <v>152</v>
      </c>
      <c r="X543"/>
    </row>
    <row r="544" spans="1:24">
      <c r="A544" t="s">
        <v>52</v>
      </c>
      <c r="B544" t="s">
        <v>19</v>
      </c>
      <c r="C544" t="s">
        <v>31</v>
      </c>
      <c r="D544" t="s">
        <v>28</v>
      </c>
      <c r="E544" t="s">
        <v>19</v>
      </c>
      <c r="F544" t="s">
        <v>19</v>
      </c>
      <c r="G544" t="s">
        <v>19</v>
      </c>
      <c r="H544" t="s">
        <v>28</v>
      </c>
      <c r="I544" t="s">
        <v>19</v>
      </c>
      <c r="J544" t="s">
        <v>74</v>
      </c>
      <c r="K544" s="21" t="s">
        <v>607</v>
      </c>
      <c r="L544" s="5" t="s">
        <v>19</v>
      </c>
      <c r="M544" s="5" t="s">
        <v>19</v>
      </c>
      <c r="N544" s="5" t="s">
        <v>19</v>
      </c>
      <c r="O544" s="5" t="str">
        <f>HYPERLINK("http://www.lghausys.co.kr/popup/rn/download/downloadPopup.jsp?from=plwindow&amp;uu=/upload/window/REPORT/LGH-WA17-101.pdf","1등급")</f>
        <v>1등급</v>
      </c>
      <c r="P544" s="5" t="s">
        <v>19</v>
      </c>
      <c r="Q544" s="5" t="s">
        <v>19</v>
      </c>
      <c r="R544" s="5" t="s">
        <v>19</v>
      </c>
      <c r="S544" s="5" t="s">
        <v>19</v>
      </c>
      <c r="T544" s="5" t="s">
        <v>19</v>
      </c>
      <c r="U544" s="5" t="s">
        <v>19</v>
      </c>
      <c r="V544" s="5" t="s">
        <v>19</v>
      </c>
      <c r="W544" s="5" t="s">
        <v>152</v>
      </c>
      <c r="X544"/>
    </row>
    <row r="545" spans="1:24">
      <c r="A545" t="s">
        <v>185</v>
      </c>
      <c r="B545" t="s">
        <v>19</v>
      </c>
      <c r="C545" t="s">
        <v>20</v>
      </c>
      <c r="D545" t="s">
        <v>25</v>
      </c>
      <c r="E545" t="s">
        <v>186</v>
      </c>
      <c r="F545" t="s">
        <v>25</v>
      </c>
      <c r="G545" t="s">
        <v>182</v>
      </c>
      <c r="H545" t="s">
        <v>25</v>
      </c>
      <c r="I545" t="s">
        <v>19</v>
      </c>
      <c r="J545" t="s">
        <v>74</v>
      </c>
      <c r="K545" s="21" t="str">
        <f>IF(X545&lt;=0.9,HYPERLINK("http://www.lxhausys.co.kr/popup/rn/download/downloadPopup.jsp?from=plwindow&amp;uu=/upload/window/REPORT/LGH-TW17-060.pdf","1등급"),IF(X545&lt;=1.2,HYPERLINK("http://www.lxhausys.co.kr/popup/rn/download/downloadPopup.jsp?from=plwindow&amp;uu=/upload/window/REPORT/LGH-TW17-060.pdf","2등급"),IF(X545&lt;=1.8,HYPERLINK("http://www.lxhausys.co.kr/popup/rn/download/downloadPopup.jsp?from=plwindow&amp;uu=/upload/window/REPORT/LGH-TW17-060.pdf","3등급"),IF(X545&lt;=2.3,HYPERLINK("http://www.lxhausys.co.kr/popup/rn/download/downloadPopup.jsp?from=plwindow&amp;uu=/upload/window/REPORT/LGH-TW17-060.pdf","4등급"),IF(X545&lt;=2.8,HYPERLINK("http://www.lxhausys.co.kr/popup/rn/download/downloadPopup.jsp?from=plwindow&amp;uu=/upload/window/REPORT/LGH-TW17-060.pdf","5등급"),HYPERLINK("http://www.lxhausys.co.kr/popup/rn/download/downloadPopup.jsp?from=plwindow&amp;uu=/upload/window/REPORT/LGH-TW17-060.pdf","등급외"))))))</f>
        <v>3등급</v>
      </c>
      <c r="L545" s="5">
        <v>1.3378000000000001</v>
      </c>
      <c r="M545" s="5" t="s">
        <v>22</v>
      </c>
      <c r="N545" s="5" t="s">
        <v>607</v>
      </c>
      <c r="O545" s="5" t="s">
        <v>19</v>
      </c>
      <c r="P545" s="5" t="s">
        <v>19</v>
      </c>
      <c r="Q545" s="5" t="s">
        <v>19</v>
      </c>
      <c r="R545" s="5" t="s">
        <v>19</v>
      </c>
      <c r="S545" s="5" t="s">
        <v>19</v>
      </c>
      <c r="T545" s="5" t="s">
        <v>19</v>
      </c>
      <c r="U545" s="5" t="s">
        <v>19</v>
      </c>
      <c r="V545" s="5" t="s">
        <v>19</v>
      </c>
      <c r="W545" s="5" t="s">
        <v>19</v>
      </c>
      <c r="X545" s="19">
        <f>L545</f>
        <v>1.3378000000000001</v>
      </c>
    </row>
    <row r="546" spans="1:24">
      <c r="A546" t="s">
        <v>185</v>
      </c>
      <c r="B546" t="s">
        <v>19</v>
      </c>
      <c r="C546" t="s">
        <v>20</v>
      </c>
      <c r="D546" t="s">
        <v>25</v>
      </c>
      <c r="E546" t="s">
        <v>186</v>
      </c>
      <c r="F546" t="s">
        <v>25</v>
      </c>
      <c r="G546" t="s">
        <v>182</v>
      </c>
      <c r="H546" t="s">
        <v>28</v>
      </c>
      <c r="I546" t="s">
        <v>19</v>
      </c>
      <c r="J546" t="s">
        <v>97</v>
      </c>
      <c r="K546" s="21" t="str">
        <f>IF(X546&lt;=0.9,HYPERLINK("http://www.lxhausys.co.kr/popup/rn/download/downloadPopup.jsp?from=plwindow&amp;uu=/upload/window/REPORT/LGH-TW17-061.pdf","1등급"),IF(X546&lt;=1.2,HYPERLINK("http://www.lxhausys.co.kr/popup/rn/download/downloadPopup.jsp?from=plwindow&amp;uu=/upload/window/REPORT/LGH-TW17-061.pdf","2등급"),IF(X546&lt;=1.8,HYPERLINK("http://www.lxhausys.co.kr/popup/rn/download/downloadPopup.jsp?from=plwindow&amp;uu=/upload/window/REPORT/LGH-TW17-061.pdf","3등급"),IF(X546&lt;=2.3,HYPERLINK("http://www.lxhausys.co.kr/popup/rn/download/downloadPopup.jsp?from=plwindow&amp;uu=/upload/window/REPORT/LGH-TW17-061.pdf","4등급"),IF(X546&lt;=2.8,HYPERLINK("http://www.lxhausys.co.kr/popup/rn/download/downloadPopup.jsp?from=plwindow&amp;uu=/upload/window/REPORT/LGH-TW17-061.pdf","5등급"),HYPERLINK("http://www.lxhausys.co.kr/popup/rn/download/downloadPopup.jsp?from=plwindow&amp;uu=/upload/window/REPORT/LGH-TW17-061.pdf","등급외"))))))</f>
        <v>2등급</v>
      </c>
      <c r="L546" s="5">
        <v>1.0593999999999999</v>
      </c>
      <c r="M546" s="5" t="s">
        <v>22</v>
      </c>
      <c r="N546" s="5" t="s">
        <v>607</v>
      </c>
      <c r="O546" s="5" t="s">
        <v>19</v>
      </c>
      <c r="P546" s="5" t="s">
        <v>19</v>
      </c>
      <c r="Q546" s="5" t="s">
        <v>19</v>
      </c>
      <c r="R546" s="5" t="s">
        <v>19</v>
      </c>
      <c r="S546" s="5" t="s">
        <v>19</v>
      </c>
      <c r="T546" s="5" t="s">
        <v>19</v>
      </c>
      <c r="U546" s="5" t="s">
        <v>19</v>
      </c>
      <c r="V546" s="5" t="s">
        <v>19</v>
      </c>
      <c r="W546" s="5" t="s">
        <v>19</v>
      </c>
      <c r="X546" s="19">
        <f>L546</f>
        <v>1.0593999999999999</v>
      </c>
    </row>
    <row r="547" spans="1:24">
      <c r="A547" t="s">
        <v>185</v>
      </c>
      <c r="B547" t="s">
        <v>19</v>
      </c>
      <c r="C547" t="s">
        <v>20</v>
      </c>
      <c r="D547" t="s">
        <v>25</v>
      </c>
      <c r="E547" t="s">
        <v>186</v>
      </c>
      <c r="F547" t="s">
        <v>25</v>
      </c>
      <c r="G547" t="s">
        <v>182</v>
      </c>
      <c r="H547" t="s">
        <v>64</v>
      </c>
      <c r="I547" t="s">
        <v>19</v>
      </c>
      <c r="J547" t="s">
        <v>97</v>
      </c>
      <c r="K547" s="21" t="str">
        <f>IF(X547&lt;=0.9,HYPERLINK("http://www.lxhausys.co.kr/popup/rn/download/downloadPopup.jsp?from=plwindow&amp;uu=/upload/window/REPORT/LGH-TW17-062.pdf","1등급"),IF(X547&lt;=1.2,HYPERLINK("http://www.lxhausys.co.kr/popup/rn/download/downloadPopup.jsp?from=plwindow&amp;uu=/upload/window/REPORT/LGH-TW17-062.pdf","2등급"),IF(X547&lt;=1.8,HYPERLINK("http://www.lxhausys.co.kr/popup/rn/download/downloadPopup.jsp?from=plwindow&amp;uu=/upload/window/REPORT/LGH-TW17-062.pdf","3등급"),IF(X547&lt;=2.3,HYPERLINK("http://www.lxhausys.co.kr/popup/rn/download/downloadPopup.jsp?from=plwindow&amp;uu=/upload/window/REPORT/LGH-TW17-062.pdf","4등급"),IF(X547&lt;=2.8,HYPERLINK("http://www.lxhausys.co.kr/popup/rn/download/downloadPopup.jsp?from=plwindow&amp;uu=/upload/window/REPORT/LGH-TW17-062.pdf","5등급"),HYPERLINK("http://www.lxhausys.co.kr/popup/rn/download/downloadPopup.jsp?from=plwindow&amp;uu=/upload/window/REPORT/LGH-TW17-062.pdf","등급외"))))))</f>
        <v>2등급</v>
      </c>
      <c r="L547" s="5">
        <v>1.0483</v>
      </c>
      <c r="M547" s="5" t="s">
        <v>22</v>
      </c>
      <c r="N547" s="5" t="s">
        <v>607</v>
      </c>
      <c r="O547" s="5" t="s">
        <v>19</v>
      </c>
      <c r="P547" s="5" t="s">
        <v>19</v>
      </c>
      <c r="Q547" s="5" t="s">
        <v>19</v>
      </c>
      <c r="R547" s="5" t="s">
        <v>19</v>
      </c>
      <c r="S547" s="5" t="s">
        <v>19</v>
      </c>
      <c r="T547" s="5" t="s">
        <v>19</v>
      </c>
      <c r="U547" s="5" t="s">
        <v>19</v>
      </c>
      <c r="V547" s="5" t="s">
        <v>19</v>
      </c>
      <c r="W547" s="5" t="s">
        <v>19</v>
      </c>
      <c r="X547" s="19">
        <f>L547</f>
        <v>1.0483</v>
      </c>
    </row>
    <row r="548" spans="1:24">
      <c r="A548" t="s">
        <v>185</v>
      </c>
      <c r="B548" t="s">
        <v>19</v>
      </c>
      <c r="C548" t="s">
        <v>20</v>
      </c>
      <c r="D548" t="s">
        <v>68</v>
      </c>
      <c r="E548" t="s">
        <v>181</v>
      </c>
      <c r="F548" t="s">
        <v>68</v>
      </c>
      <c r="G548" t="s">
        <v>182</v>
      </c>
      <c r="H548" t="s">
        <v>68</v>
      </c>
      <c r="I548" t="s">
        <v>19</v>
      </c>
      <c r="J548" t="s">
        <v>74</v>
      </c>
      <c r="K548" s="21" t="str">
        <f>IF(X548&lt;=0.9,HYPERLINK("http://www.lxhausys.co.kr/popup/rn/download/downloadPopup.jsp?from=plwindow&amp;uu=/upload/window/REPORT/LGH-TW17-063.pdf","1등급"),IF(X548&lt;=1.2,HYPERLINK("http://www.lxhausys.co.kr/popup/rn/download/downloadPopup.jsp?from=plwindow&amp;uu=/upload/window/REPORT/LGH-TW17-063.pdf","2등급"),IF(X548&lt;=1.8,HYPERLINK("http://www.lxhausys.co.kr/popup/rn/download/downloadPopup.jsp?from=plwindow&amp;uu=/upload/window/REPORT/LGH-TW17-063.pdf","3등급"),IF(X548&lt;=2.3,HYPERLINK("http://www.lxhausys.co.kr/popup/rn/download/downloadPopup.jsp?from=plwindow&amp;uu=/upload/window/REPORT/LGH-TW17-063.pdf","4등급"),IF(X548&lt;=2.8,HYPERLINK("http://www.lxhausys.co.kr/popup/rn/download/downloadPopup.jsp?from=plwindow&amp;uu=/upload/window/REPORT/LGH-TW17-063.pdf","5등급"),HYPERLINK("http://www.lxhausys.co.kr/popup/rn/download/downloadPopup.jsp?from=plwindow&amp;uu=/upload/window/REPORT/LGH-TW17-063.pdf","등급외"))))))</f>
        <v>3등급</v>
      </c>
      <c r="L548" s="5">
        <v>1.3180000000000001</v>
      </c>
      <c r="M548" s="5" t="s">
        <v>22</v>
      </c>
      <c r="N548" s="5" t="s">
        <v>607</v>
      </c>
      <c r="O548" s="5" t="s">
        <v>19</v>
      </c>
      <c r="P548" s="5" t="s">
        <v>19</v>
      </c>
      <c r="Q548" s="5" t="s">
        <v>19</v>
      </c>
      <c r="R548" s="5" t="s">
        <v>19</v>
      </c>
      <c r="S548" s="5" t="s">
        <v>19</v>
      </c>
      <c r="T548" s="5" t="s">
        <v>19</v>
      </c>
      <c r="U548" s="5" t="s">
        <v>19</v>
      </c>
      <c r="V548" s="5" t="s">
        <v>19</v>
      </c>
      <c r="W548" s="5" t="s">
        <v>19</v>
      </c>
      <c r="X548" s="19">
        <f>L548</f>
        <v>1.3180000000000001</v>
      </c>
    </row>
    <row r="549" spans="1:24">
      <c r="A549" t="s">
        <v>185</v>
      </c>
      <c r="B549" t="s">
        <v>19</v>
      </c>
      <c r="C549" t="s">
        <v>20</v>
      </c>
      <c r="D549" t="s">
        <v>68</v>
      </c>
      <c r="E549" t="s">
        <v>181</v>
      </c>
      <c r="F549" t="s">
        <v>68</v>
      </c>
      <c r="G549" t="s">
        <v>182</v>
      </c>
      <c r="H549" t="s">
        <v>66</v>
      </c>
      <c r="I549" t="s">
        <v>19</v>
      </c>
      <c r="J549" t="s">
        <v>97</v>
      </c>
      <c r="K549" s="21" t="str">
        <f>IF(X549&lt;=0.9,HYPERLINK("http://www.lxhausys.co.kr/popup/rn/download/downloadPopup.jsp?from=plwindow&amp;uu=/upload/window/REPORT/LGH-TW17-064.pdf","1등급"),IF(X549&lt;=1.2,HYPERLINK("http://www.lxhausys.co.kr/popup/rn/download/downloadPopup.jsp?from=plwindow&amp;uu=/upload/window/REPORT/LGH-TW17-064.pdf","2등급"),IF(X549&lt;=1.8,HYPERLINK("http://www.lxhausys.co.kr/popup/rn/download/downloadPopup.jsp?from=plwindow&amp;uu=/upload/window/REPORT/LGH-TW17-064.pdf","3등급"),IF(X549&lt;=2.3,HYPERLINK("http://www.lxhausys.co.kr/popup/rn/download/downloadPopup.jsp?from=plwindow&amp;uu=/upload/window/REPORT/LGH-TW17-064.pdf","4등급"),IF(X549&lt;=2.8,HYPERLINK("http://www.lxhausys.co.kr/popup/rn/download/downloadPopup.jsp?from=plwindow&amp;uu=/upload/window/REPORT/LGH-TW17-064.pdf","5등급"),HYPERLINK("http://www.lxhausys.co.kr/popup/rn/download/downloadPopup.jsp?from=plwindow&amp;uu=/upload/window/REPORT/LGH-TW17-064.pdf","등급외"))))))</f>
        <v>2등급</v>
      </c>
      <c r="L549" s="5">
        <v>1.0377000000000001</v>
      </c>
      <c r="M549" s="5" t="s">
        <v>22</v>
      </c>
      <c r="N549" s="5" t="s">
        <v>607</v>
      </c>
      <c r="O549" s="5" t="s">
        <v>19</v>
      </c>
      <c r="P549" s="5" t="s">
        <v>19</v>
      </c>
      <c r="Q549" s="5" t="s">
        <v>19</v>
      </c>
      <c r="R549" s="5" t="s">
        <v>19</v>
      </c>
      <c r="S549" s="5" t="s">
        <v>19</v>
      </c>
      <c r="T549" s="5" t="s">
        <v>19</v>
      </c>
      <c r="U549" s="5" t="s">
        <v>19</v>
      </c>
      <c r="V549" s="5" t="s">
        <v>19</v>
      </c>
      <c r="W549" s="5" t="s">
        <v>19</v>
      </c>
      <c r="X549" s="19">
        <f>L549</f>
        <v>1.0377000000000001</v>
      </c>
    </row>
    <row r="550" spans="1:24">
      <c r="A550" t="s">
        <v>174</v>
      </c>
      <c r="B550" t="s">
        <v>19</v>
      </c>
      <c r="C550" t="s">
        <v>34</v>
      </c>
      <c r="D550" t="s">
        <v>28</v>
      </c>
      <c r="E550" t="s">
        <v>19</v>
      </c>
      <c r="F550" t="s">
        <v>19</v>
      </c>
      <c r="G550" t="s">
        <v>19</v>
      </c>
      <c r="H550" t="s">
        <v>28</v>
      </c>
      <c r="I550" t="s">
        <v>19</v>
      </c>
      <c r="J550" t="s">
        <v>74</v>
      </c>
      <c r="K550" s="21" t="s">
        <v>607</v>
      </c>
      <c r="L550" s="5" t="s">
        <v>19</v>
      </c>
      <c r="M550" s="5" t="s">
        <v>19</v>
      </c>
      <c r="N550" s="5" t="str">
        <f>HYPERLINK("http://www.lghausys.co.kr/popup/rn/download/downloadPopup.jsp?from=plwindow&amp;uu=/upload/window/REPORT/LGH-TA17-082.pdf","0.8407")</f>
        <v>0.8407</v>
      </c>
      <c r="O550" s="5" t="s">
        <v>19</v>
      </c>
      <c r="P550" s="5" t="s">
        <v>19</v>
      </c>
      <c r="Q550" s="5" t="s">
        <v>19</v>
      </c>
      <c r="R550" s="5" t="s">
        <v>19</v>
      </c>
      <c r="S550" s="5" t="s">
        <v>19</v>
      </c>
      <c r="T550" s="5" t="s">
        <v>19</v>
      </c>
      <c r="U550" s="5" t="s">
        <v>19</v>
      </c>
      <c r="V550" s="5" t="s">
        <v>19</v>
      </c>
      <c r="W550" s="5" t="s">
        <v>75</v>
      </c>
      <c r="X550"/>
    </row>
    <row r="551" spans="1:24">
      <c r="A551" t="s">
        <v>174</v>
      </c>
      <c r="B551" t="s">
        <v>19</v>
      </c>
      <c r="C551" t="s">
        <v>34</v>
      </c>
      <c r="D551" t="s">
        <v>25</v>
      </c>
      <c r="E551" t="s">
        <v>19</v>
      </c>
      <c r="F551" t="s">
        <v>19</v>
      </c>
      <c r="G551" t="s">
        <v>19</v>
      </c>
      <c r="H551" t="s">
        <v>28</v>
      </c>
      <c r="I551" t="s">
        <v>19</v>
      </c>
      <c r="J551" t="s">
        <v>74</v>
      </c>
      <c r="K551" s="21" t="s">
        <v>607</v>
      </c>
      <c r="L551" s="5" t="s">
        <v>19</v>
      </c>
      <c r="M551" s="5" t="s">
        <v>19</v>
      </c>
      <c r="N551" s="5" t="str">
        <f>HYPERLINK("http://www.lghausys.co.kr/popup/rn/download/downloadPopup.jsp?from=plwindow&amp;uu=/upload/window/REPORT/LGH-TA17-083.pdf","1.0279")</f>
        <v>1.0279</v>
      </c>
      <c r="O551" s="5" t="s">
        <v>19</v>
      </c>
      <c r="P551" s="5" t="s">
        <v>19</v>
      </c>
      <c r="Q551" s="5" t="s">
        <v>19</v>
      </c>
      <c r="R551" s="5" t="s">
        <v>19</v>
      </c>
      <c r="S551" s="5" t="s">
        <v>19</v>
      </c>
      <c r="T551" s="5" t="s">
        <v>19</v>
      </c>
      <c r="U551" s="5" t="s">
        <v>19</v>
      </c>
      <c r="V551" s="5" t="s">
        <v>19</v>
      </c>
      <c r="W551" s="5" t="s">
        <v>75</v>
      </c>
      <c r="X551"/>
    </row>
    <row r="552" spans="1:24">
      <c r="A552" t="s">
        <v>174</v>
      </c>
      <c r="B552" t="s">
        <v>19</v>
      </c>
      <c r="C552" t="s">
        <v>34</v>
      </c>
      <c r="D552" t="s">
        <v>25</v>
      </c>
      <c r="E552" t="s">
        <v>19</v>
      </c>
      <c r="F552" t="s">
        <v>19</v>
      </c>
      <c r="G552" t="s">
        <v>19</v>
      </c>
      <c r="H552" t="s">
        <v>25</v>
      </c>
      <c r="I552" t="s">
        <v>19</v>
      </c>
      <c r="J552" t="s">
        <v>74</v>
      </c>
      <c r="K552" s="21" t="s">
        <v>607</v>
      </c>
      <c r="L552" s="5" t="s">
        <v>19</v>
      </c>
      <c r="M552" s="5" t="s">
        <v>19</v>
      </c>
      <c r="N552" s="5" t="str">
        <f>HYPERLINK("http://www.lghausys.co.kr/popup/rn/download/downloadPopup.jsp?from=plwindow&amp;uu=/upload/window/REPORT/LGH-TA17-084.pdf","1.295")</f>
        <v>1.295</v>
      </c>
      <c r="O552" s="5" t="s">
        <v>19</v>
      </c>
      <c r="P552" s="5" t="s">
        <v>19</v>
      </c>
      <c r="Q552" s="5" t="s">
        <v>19</v>
      </c>
      <c r="R552" s="5" t="s">
        <v>19</v>
      </c>
      <c r="S552" s="5" t="s">
        <v>19</v>
      </c>
      <c r="T552" s="5" t="s">
        <v>19</v>
      </c>
      <c r="U552" s="5" t="s">
        <v>19</v>
      </c>
      <c r="V552" s="5" t="s">
        <v>19</v>
      </c>
      <c r="W552" s="5" t="s">
        <v>75</v>
      </c>
      <c r="X552"/>
    </row>
    <row r="553" spans="1:24">
      <c r="A553" t="s">
        <v>73</v>
      </c>
      <c r="B553" t="s">
        <v>19</v>
      </c>
      <c r="C553" t="s">
        <v>34</v>
      </c>
      <c r="D553" t="s">
        <v>25</v>
      </c>
      <c r="E553" t="s">
        <v>19</v>
      </c>
      <c r="F553" t="s">
        <v>19</v>
      </c>
      <c r="G553" t="s">
        <v>19</v>
      </c>
      <c r="H553" t="s">
        <v>28</v>
      </c>
      <c r="I553" t="s">
        <v>19</v>
      </c>
      <c r="J553" t="s">
        <v>74</v>
      </c>
      <c r="K553" s="21" t="s">
        <v>607</v>
      </c>
      <c r="L553" s="5" t="s">
        <v>19</v>
      </c>
      <c r="M553" s="5" t="s">
        <v>19</v>
      </c>
      <c r="N553" s="5" t="str">
        <f>HYPERLINK("http://www.lghausys.co.kr/popup/rn/download/downloadPopup.jsp?from=plwindow&amp;uu=/upload/window/REPORT/LGH-TA17-085.pdf","1.0187")</f>
        <v>1.0187</v>
      </c>
      <c r="O553" s="5" t="s">
        <v>19</v>
      </c>
      <c r="P553" s="5" t="s">
        <v>19</v>
      </c>
      <c r="Q553" s="5" t="s">
        <v>19</v>
      </c>
      <c r="R553" s="5" t="s">
        <v>19</v>
      </c>
      <c r="S553" s="5" t="s">
        <v>19</v>
      </c>
      <c r="T553" s="5" t="s">
        <v>19</v>
      </c>
      <c r="U553" s="5" t="s">
        <v>19</v>
      </c>
      <c r="V553" s="5" t="s">
        <v>19</v>
      </c>
      <c r="W553" s="5" t="s">
        <v>75</v>
      </c>
      <c r="X553"/>
    </row>
    <row r="554" spans="1:24">
      <c r="A554" t="s">
        <v>73</v>
      </c>
      <c r="B554" t="s">
        <v>19</v>
      </c>
      <c r="C554" t="s">
        <v>34</v>
      </c>
      <c r="D554" t="s">
        <v>25</v>
      </c>
      <c r="E554" t="s">
        <v>19</v>
      </c>
      <c r="F554" t="s">
        <v>19</v>
      </c>
      <c r="G554" t="s">
        <v>19</v>
      </c>
      <c r="H554" t="s">
        <v>25</v>
      </c>
      <c r="I554" t="s">
        <v>19</v>
      </c>
      <c r="J554" t="s">
        <v>74</v>
      </c>
      <c r="K554" s="21" t="s">
        <v>607</v>
      </c>
      <c r="L554" s="5" t="s">
        <v>19</v>
      </c>
      <c r="M554" s="5" t="s">
        <v>19</v>
      </c>
      <c r="N554" s="5" t="str">
        <f>HYPERLINK("http://www.lghausys.co.kr/popup/rn/download/downloadPopup.jsp?from=plwindow&amp;uu=/upload/window/REPORT/LGH-TA17-086.pdf","1.3133")</f>
        <v>1.3133</v>
      </c>
      <c r="O554" s="5" t="s">
        <v>19</v>
      </c>
      <c r="P554" s="5" t="s">
        <v>19</v>
      </c>
      <c r="Q554" s="5" t="s">
        <v>19</v>
      </c>
      <c r="R554" s="5" t="s">
        <v>19</v>
      </c>
      <c r="S554" s="5" t="s">
        <v>19</v>
      </c>
      <c r="T554" s="5" t="s">
        <v>19</v>
      </c>
      <c r="U554" s="5" t="s">
        <v>19</v>
      </c>
      <c r="V554" s="5" t="s">
        <v>19</v>
      </c>
      <c r="W554" s="5" t="s">
        <v>75</v>
      </c>
      <c r="X554"/>
    </row>
    <row r="555" spans="1:24">
      <c r="A555" t="s">
        <v>73</v>
      </c>
      <c r="B555" t="s">
        <v>19</v>
      </c>
      <c r="C555" t="s">
        <v>34</v>
      </c>
      <c r="D555" t="s">
        <v>28</v>
      </c>
      <c r="E555" t="s">
        <v>19</v>
      </c>
      <c r="F555" t="s">
        <v>19</v>
      </c>
      <c r="G555" t="s">
        <v>19</v>
      </c>
      <c r="H555" t="s">
        <v>28</v>
      </c>
      <c r="I555" t="s">
        <v>19</v>
      </c>
      <c r="J555" t="s">
        <v>74</v>
      </c>
      <c r="K555" s="21" t="s">
        <v>607</v>
      </c>
      <c r="L555" s="5" t="s">
        <v>19</v>
      </c>
      <c r="M555" s="5" t="s">
        <v>19</v>
      </c>
      <c r="N555" s="5" t="str">
        <f>HYPERLINK("http://www.lghausys.co.kr/popup/rn/download/downloadPopup.jsp?from=plwindow&amp;uu=/upload/window/REPORT/LGH-TA17-087.pdf","0.8633")</f>
        <v>0.8633</v>
      </c>
      <c r="O555" s="5" t="s">
        <v>19</v>
      </c>
      <c r="P555" s="5" t="s">
        <v>19</v>
      </c>
      <c r="Q555" s="5" t="s">
        <v>19</v>
      </c>
      <c r="R555" s="5" t="s">
        <v>19</v>
      </c>
      <c r="S555" s="5" t="s">
        <v>19</v>
      </c>
      <c r="T555" s="5" t="s">
        <v>19</v>
      </c>
      <c r="U555" s="5" t="s">
        <v>19</v>
      </c>
      <c r="V555" s="5" t="s">
        <v>19</v>
      </c>
      <c r="W555" s="5" t="s">
        <v>75</v>
      </c>
      <c r="X555"/>
    </row>
    <row r="556" spans="1:24">
      <c r="A556" t="s">
        <v>135</v>
      </c>
      <c r="B556" t="s">
        <v>19</v>
      </c>
      <c r="C556" t="s">
        <v>14</v>
      </c>
      <c r="D556" t="s">
        <v>25</v>
      </c>
      <c r="E556" t="s">
        <v>178</v>
      </c>
      <c r="F556" t="s">
        <v>19</v>
      </c>
      <c r="G556" t="s">
        <v>19</v>
      </c>
      <c r="H556" t="s">
        <v>28</v>
      </c>
      <c r="I556" t="s">
        <v>19</v>
      </c>
      <c r="J556" t="s">
        <v>145</v>
      </c>
      <c r="K556" s="21" t="s">
        <v>607</v>
      </c>
      <c r="L556" s="5" t="s">
        <v>19</v>
      </c>
      <c r="M556" s="5" t="s">
        <v>19</v>
      </c>
      <c r="N556" s="5" t="s">
        <v>19</v>
      </c>
      <c r="O556" s="5" t="s">
        <v>19</v>
      </c>
      <c r="P556" s="5" t="s">
        <v>19</v>
      </c>
      <c r="Q556" s="5" t="s">
        <v>19</v>
      </c>
      <c r="R556" s="5" t="s">
        <v>19</v>
      </c>
      <c r="S556" s="5" t="s">
        <v>19</v>
      </c>
      <c r="T556" s="5" t="str">
        <f>HYPERLINK("http://www.lghausys.co.kr/popup/rn/download/downloadPopup.jsp?from=plwindow&amp;uu=/upload/window/REPORT/LGH-DA17-011.pdf","결로발생없음")</f>
        <v>결로발생없음</v>
      </c>
      <c r="U556" s="5" t="s">
        <v>19</v>
      </c>
      <c r="V556" s="5" t="s">
        <v>19</v>
      </c>
      <c r="W556" s="5" t="s">
        <v>75</v>
      </c>
      <c r="X556"/>
    </row>
    <row r="557" spans="1:24">
      <c r="A557" t="s">
        <v>135</v>
      </c>
      <c r="B557" t="s">
        <v>19</v>
      </c>
      <c r="C557" t="s">
        <v>15</v>
      </c>
      <c r="D557" t="s">
        <v>25</v>
      </c>
      <c r="E557" t="s">
        <v>147</v>
      </c>
      <c r="F557" t="s">
        <v>19</v>
      </c>
      <c r="G557" t="s">
        <v>19</v>
      </c>
      <c r="H557" t="s">
        <v>25</v>
      </c>
      <c r="I557" t="s">
        <v>19</v>
      </c>
      <c r="J557" t="s">
        <v>74</v>
      </c>
      <c r="K557" s="21" t="s">
        <v>607</v>
      </c>
      <c r="L557" s="5" t="s">
        <v>19</v>
      </c>
      <c r="M557" s="5" t="s">
        <v>19</v>
      </c>
      <c r="N557" s="5" t="s">
        <v>19</v>
      </c>
      <c r="O557" s="5" t="s">
        <v>19</v>
      </c>
      <c r="P557" s="5" t="s">
        <v>19</v>
      </c>
      <c r="Q557" s="5" t="s">
        <v>19</v>
      </c>
      <c r="R557" s="5" t="s">
        <v>19</v>
      </c>
      <c r="S557" s="5" t="s">
        <v>19</v>
      </c>
      <c r="T557" s="5" t="s">
        <v>19</v>
      </c>
      <c r="U557" s="5" t="str">
        <f>HYPERLINK("http://www.lghausys.co.kr/popup/rn/download/downloadPopup.jsp?from=plwindow&amp;uu=/upload/window/REPORT/LGH-DA17-012.pdf","결로발생없음")</f>
        <v>결로발생없음</v>
      </c>
      <c r="V557" s="5" t="s">
        <v>19</v>
      </c>
      <c r="W557" s="5" t="s">
        <v>75</v>
      </c>
      <c r="X557"/>
    </row>
    <row r="558" spans="1:24">
      <c r="A558" t="s">
        <v>135</v>
      </c>
      <c r="B558" t="s">
        <v>19</v>
      </c>
      <c r="C558" t="s">
        <v>14</v>
      </c>
      <c r="D558" t="s">
        <v>28</v>
      </c>
      <c r="E558" t="s">
        <v>147</v>
      </c>
      <c r="F558" t="s">
        <v>19</v>
      </c>
      <c r="G558" t="s">
        <v>19</v>
      </c>
      <c r="H558" t="s">
        <v>28</v>
      </c>
      <c r="I558" t="s">
        <v>19</v>
      </c>
      <c r="J558" t="s">
        <v>74</v>
      </c>
      <c r="K558" s="21" t="s">
        <v>607</v>
      </c>
      <c r="L558" s="5" t="s">
        <v>19</v>
      </c>
      <c r="M558" s="5" t="s">
        <v>19</v>
      </c>
      <c r="N558" s="5" t="s">
        <v>19</v>
      </c>
      <c r="O558" s="5" t="s">
        <v>19</v>
      </c>
      <c r="P558" s="5" t="s">
        <v>19</v>
      </c>
      <c r="Q558" s="5" t="s">
        <v>19</v>
      </c>
      <c r="R558" s="5" t="s">
        <v>19</v>
      </c>
      <c r="S558" s="5" t="s">
        <v>19</v>
      </c>
      <c r="T558" s="5" t="str">
        <f>HYPERLINK("http://www.lghausys.co.kr/popup/rn/download/downloadPopup.jsp?from=plwindow&amp;uu=/upload/window/REPORT/LGH-DA17-014.pdf","결로발생없음")</f>
        <v>결로발생없음</v>
      </c>
      <c r="U558" s="5" t="s">
        <v>19</v>
      </c>
      <c r="V558" s="5" t="s">
        <v>19</v>
      </c>
      <c r="W558" s="5" t="s">
        <v>75</v>
      </c>
      <c r="X558"/>
    </row>
    <row r="559" spans="1:24">
      <c r="A559" t="s">
        <v>133</v>
      </c>
      <c r="B559" t="s">
        <v>19</v>
      </c>
      <c r="C559" t="s">
        <v>15</v>
      </c>
      <c r="D559" t="s">
        <v>25</v>
      </c>
      <c r="E559" t="s">
        <v>147</v>
      </c>
      <c r="F559" t="s">
        <v>19</v>
      </c>
      <c r="G559" t="s">
        <v>19</v>
      </c>
      <c r="H559" t="s">
        <v>25</v>
      </c>
      <c r="I559" t="s">
        <v>19</v>
      </c>
      <c r="J559" t="s">
        <v>74</v>
      </c>
      <c r="K559" s="21" t="s">
        <v>607</v>
      </c>
      <c r="L559" s="5" t="s">
        <v>19</v>
      </c>
      <c r="M559" s="5" t="s">
        <v>19</v>
      </c>
      <c r="N559" s="5" t="s">
        <v>19</v>
      </c>
      <c r="O559" s="5" t="s">
        <v>19</v>
      </c>
      <c r="P559" s="5" t="s">
        <v>19</v>
      </c>
      <c r="Q559" s="5" t="s">
        <v>19</v>
      </c>
      <c r="R559" s="5" t="s">
        <v>19</v>
      </c>
      <c r="S559" s="5" t="s">
        <v>19</v>
      </c>
      <c r="T559" s="5" t="s">
        <v>19</v>
      </c>
      <c r="U559" s="5" t="str">
        <f>HYPERLINK("http://www.lghausys.co.kr/popup/rn/download/downloadPopup.jsp?from=plwindow&amp;uu=/upload/window/REPORT/LGH-DA17-015.pdf","결로발생없음")</f>
        <v>결로발생없음</v>
      </c>
      <c r="V559" s="5" t="s">
        <v>19</v>
      </c>
      <c r="W559" s="5" t="s">
        <v>75</v>
      </c>
      <c r="X559"/>
    </row>
    <row r="560" spans="1:24">
      <c r="A560" t="s">
        <v>135</v>
      </c>
      <c r="B560" t="s">
        <v>19</v>
      </c>
      <c r="C560" t="s">
        <v>34</v>
      </c>
      <c r="D560" t="s">
        <v>25</v>
      </c>
      <c r="E560" t="s">
        <v>147</v>
      </c>
      <c r="F560" t="s">
        <v>19</v>
      </c>
      <c r="G560" t="s">
        <v>19</v>
      </c>
      <c r="H560" t="s">
        <v>25</v>
      </c>
      <c r="I560" t="s">
        <v>19</v>
      </c>
      <c r="J560" t="s">
        <v>74</v>
      </c>
      <c r="K560" s="21" t="s">
        <v>607</v>
      </c>
      <c r="L560" s="5" t="s">
        <v>19</v>
      </c>
      <c r="M560" s="5" t="s">
        <v>19</v>
      </c>
      <c r="N560" s="5" t="str">
        <f>HYPERLINK("http://www.lghausys.co.kr/popup/rn/download/downloadPopup.jsp?from=plwindow&amp;uu=/upload/window/REPORT/LGH-TA17-096.pdf","1.3196")</f>
        <v>1.3196</v>
      </c>
      <c r="O560" s="5" t="s">
        <v>19</v>
      </c>
      <c r="P560" s="5" t="s">
        <v>19</v>
      </c>
      <c r="Q560" s="5" t="s">
        <v>19</v>
      </c>
      <c r="R560" s="5" t="s">
        <v>19</v>
      </c>
      <c r="S560" s="5" t="s">
        <v>19</v>
      </c>
      <c r="T560" s="5" t="s">
        <v>19</v>
      </c>
      <c r="U560" s="5" t="s">
        <v>19</v>
      </c>
      <c r="V560" s="5" t="s">
        <v>19</v>
      </c>
      <c r="W560" s="5" t="s">
        <v>75</v>
      </c>
      <c r="X560"/>
    </row>
    <row r="561" spans="1:24">
      <c r="A561" t="s">
        <v>135</v>
      </c>
      <c r="B561" t="s">
        <v>19</v>
      </c>
      <c r="C561" t="s">
        <v>34</v>
      </c>
      <c r="D561" t="s">
        <v>25</v>
      </c>
      <c r="E561" t="s">
        <v>147</v>
      </c>
      <c r="F561" t="s">
        <v>19</v>
      </c>
      <c r="G561" t="s">
        <v>19</v>
      </c>
      <c r="H561" t="s">
        <v>28</v>
      </c>
      <c r="I561" t="s">
        <v>19</v>
      </c>
      <c r="J561" t="s">
        <v>74</v>
      </c>
      <c r="K561" s="21" t="s">
        <v>607</v>
      </c>
      <c r="L561" s="5" t="s">
        <v>19</v>
      </c>
      <c r="M561" s="5" t="s">
        <v>19</v>
      </c>
      <c r="N561" s="5" t="str">
        <f>HYPERLINK("http://www.lghausys.co.kr/popup/rn/download/downloadPopup.jsp?from=plwindow&amp;uu=/upload/window/REPORT/LGH-TA17-097.pdf","1.1076")</f>
        <v>1.1076</v>
      </c>
      <c r="O561" s="5" t="s">
        <v>19</v>
      </c>
      <c r="P561" s="5" t="s">
        <v>19</v>
      </c>
      <c r="Q561" s="5" t="s">
        <v>19</v>
      </c>
      <c r="R561" s="5" t="s">
        <v>19</v>
      </c>
      <c r="S561" s="5" t="s">
        <v>19</v>
      </c>
      <c r="T561" s="5" t="s">
        <v>19</v>
      </c>
      <c r="U561" s="5" t="s">
        <v>19</v>
      </c>
      <c r="V561" s="5" t="s">
        <v>19</v>
      </c>
      <c r="W561" s="5" t="s">
        <v>75</v>
      </c>
      <c r="X561"/>
    </row>
    <row r="562" spans="1:24">
      <c r="A562" t="s">
        <v>135</v>
      </c>
      <c r="B562" t="s">
        <v>19</v>
      </c>
      <c r="C562" t="s">
        <v>34</v>
      </c>
      <c r="D562" t="s">
        <v>28</v>
      </c>
      <c r="E562" t="s">
        <v>147</v>
      </c>
      <c r="F562" t="s">
        <v>19</v>
      </c>
      <c r="G562" t="s">
        <v>19</v>
      </c>
      <c r="H562" t="s">
        <v>28</v>
      </c>
      <c r="I562" t="s">
        <v>19</v>
      </c>
      <c r="J562" t="s">
        <v>74</v>
      </c>
      <c r="K562" s="21" t="s">
        <v>607</v>
      </c>
      <c r="L562" s="5" t="s">
        <v>19</v>
      </c>
      <c r="M562" s="5" t="s">
        <v>19</v>
      </c>
      <c r="N562" s="5" t="str">
        <f>HYPERLINK("http://www.lghausys.co.kr/popup/rn/download/downloadPopup.jsp?from=plwindow&amp;uu=/upload/window/REPORT/LGH-TA17-098.pdf","1.082")</f>
        <v>1.082</v>
      </c>
      <c r="O562" s="5" t="s">
        <v>19</v>
      </c>
      <c r="P562" s="5" t="s">
        <v>19</v>
      </c>
      <c r="Q562" s="5" t="s">
        <v>19</v>
      </c>
      <c r="R562" s="5" t="s">
        <v>19</v>
      </c>
      <c r="S562" s="5" t="s">
        <v>19</v>
      </c>
      <c r="T562" s="5" t="s">
        <v>19</v>
      </c>
      <c r="U562" s="5" t="s">
        <v>19</v>
      </c>
      <c r="V562" s="5" t="s">
        <v>19</v>
      </c>
      <c r="W562" s="5" t="s">
        <v>75</v>
      </c>
      <c r="X562"/>
    </row>
    <row r="563" spans="1:24">
      <c r="A563" t="s">
        <v>135</v>
      </c>
      <c r="B563" t="s">
        <v>19</v>
      </c>
      <c r="C563" t="s">
        <v>20</v>
      </c>
      <c r="D563" t="s">
        <v>25</v>
      </c>
      <c r="E563" t="s">
        <v>178</v>
      </c>
      <c r="F563" t="s">
        <v>19</v>
      </c>
      <c r="G563" t="s">
        <v>19</v>
      </c>
      <c r="H563" t="s">
        <v>28</v>
      </c>
      <c r="I563" t="s">
        <v>19</v>
      </c>
      <c r="J563" t="s">
        <v>145</v>
      </c>
      <c r="K563" s="21" t="str">
        <f>IF(X563&lt;=0.9,HYPERLINK("http://www.lxhausys.co.kr/popup/rn/download/downloadPopup.jsp?from=plwindow&amp;uu=/upload/window/REPORT/LGH-TW17-065.pdf","1등급"),IF(X563&lt;=1.2,HYPERLINK("http://www.lxhausys.co.kr/popup/rn/download/downloadPopup.jsp?from=plwindow&amp;uu=/upload/window/REPORT/LGH-TW17-065.pdf","2등급"),IF(X563&lt;=1.8,HYPERLINK("http://www.lxhausys.co.kr/popup/rn/download/downloadPopup.jsp?from=plwindow&amp;uu=/upload/window/REPORT/LGH-TW17-065.pdf","3등급"),IF(X563&lt;=2.3,HYPERLINK("http://www.lxhausys.co.kr/popup/rn/download/downloadPopup.jsp?from=plwindow&amp;uu=/upload/window/REPORT/LGH-TW17-065.pdf","4등급"),IF(X563&lt;=2.8,HYPERLINK("http://www.lxhausys.co.kr/popup/rn/download/downloadPopup.jsp?from=plwindow&amp;uu=/upload/window/REPORT/LGH-TW17-065.pdf","5등급"),HYPERLINK("http://www.lxhausys.co.kr/popup/rn/download/downloadPopup.jsp?from=plwindow&amp;uu=/upload/window/REPORT/LGH-TW17-065.pdf","등급외"))))))</f>
        <v>2등급</v>
      </c>
      <c r="L563" s="5">
        <v>1.0994999999999999</v>
      </c>
      <c r="M563" s="5" t="s">
        <v>22</v>
      </c>
      <c r="N563" s="5" t="s">
        <v>607</v>
      </c>
      <c r="O563" s="5" t="s">
        <v>19</v>
      </c>
      <c r="P563" s="5" t="s">
        <v>19</v>
      </c>
      <c r="Q563" s="5" t="s">
        <v>19</v>
      </c>
      <c r="R563" s="5" t="s">
        <v>19</v>
      </c>
      <c r="S563" s="5" t="s">
        <v>19</v>
      </c>
      <c r="T563" s="5" t="s">
        <v>19</v>
      </c>
      <c r="U563" s="5" t="s">
        <v>19</v>
      </c>
      <c r="V563" s="5" t="s">
        <v>19</v>
      </c>
      <c r="W563" s="5" t="s">
        <v>19</v>
      </c>
      <c r="X563" s="19">
        <f>L563</f>
        <v>1.0994999999999999</v>
      </c>
    </row>
    <row r="564" spans="1:24">
      <c r="A564" t="s">
        <v>19</v>
      </c>
      <c r="B564" t="s">
        <v>83</v>
      </c>
      <c r="C564" t="s">
        <v>31</v>
      </c>
      <c r="D564" t="s">
        <v>126</v>
      </c>
      <c r="E564" t="s">
        <v>19</v>
      </c>
      <c r="F564" t="s">
        <v>19</v>
      </c>
      <c r="G564" t="s">
        <v>19</v>
      </c>
      <c r="H564" t="s">
        <v>19</v>
      </c>
      <c r="I564" t="s">
        <v>19</v>
      </c>
      <c r="J564" t="s">
        <v>74</v>
      </c>
      <c r="K564" s="21" t="s">
        <v>607</v>
      </c>
      <c r="L564" s="5" t="s">
        <v>19</v>
      </c>
      <c r="M564" s="5" t="s">
        <v>19</v>
      </c>
      <c r="N564" s="5" t="s">
        <v>19</v>
      </c>
      <c r="O564" s="5" t="str">
        <f>HYPERLINK("http://www.lghausys.co.kr/popup/rn/download/downloadPopup.jsp?from=plwindow&amp;uu=/upload/window/REPORT/LGH-WA17-109.pdf","2등급")</f>
        <v>2등급</v>
      </c>
      <c r="P564" s="5" t="s">
        <v>19</v>
      </c>
      <c r="Q564" s="5" t="s">
        <v>19</v>
      </c>
      <c r="R564" s="5" t="s">
        <v>19</v>
      </c>
      <c r="S564" s="5" t="s">
        <v>19</v>
      </c>
      <c r="T564" s="5" t="s">
        <v>19</v>
      </c>
      <c r="U564" s="5" t="s">
        <v>19</v>
      </c>
      <c r="V564" s="5" t="s">
        <v>19</v>
      </c>
      <c r="W564" s="5" t="s">
        <v>152</v>
      </c>
      <c r="X564"/>
    </row>
    <row r="565" spans="1:24">
      <c r="A565" t="s">
        <v>19</v>
      </c>
      <c r="B565" t="s">
        <v>49</v>
      </c>
      <c r="C565" t="s">
        <v>31</v>
      </c>
      <c r="D565" t="s">
        <v>28</v>
      </c>
      <c r="E565" t="s">
        <v>19</v>
      </c>
      <c r="F565" t="s">
        <v>19</v>
      </c>
      <c r="G565" t="s">
        <v>19</v>
      </c>
      <c r="H565" t="s">
        <v>19</v>
      </c>
      <c r="I565" t="s">
        <v>19</v>
      </c>
      <c r="J565" t="s">
        <v>74</v>
      </c>
      <c r="K565" s="21" t="s">
        <v>607</v>
      </c>
      <c r="L565" s="5" t="s">
        <v>19</v>
      </c>
      <c r="M565" s="5" t="s">
        <v>19</v>
      </c>
      <c r="N565" s="5" t="s">
        <v>19</v>
      </c>
      <c r="O565" s="5" t="str">
        <f>HYPERLINK("http://www.lghausys.co.kr/popup/rn/download/downloadPopup.jsp?from=plwindow&amp;uu=/upload/window/REPORT/LGH-WA17-110.pdf","2등급")</f>
        <v>2등급</v>
      </c>
      <c r="P565" s="5" t="s">
        <v>19</v>
      </c>
      <c r="Q565" s="5" t="s">
        <v>19</v>
      </c>
      <c r="R565" s="5" t="s">
        <v>19</v>
      </c>
      <c r="S565" s="5" t="s">
        <v>19</v>
      </c>
      <c r="T565" s="5" t="s">
        <v>19</v>
      </c>
      <c r="U565" s="5" t="s">
        <v>19</v>
      </c>
      <c r="V565" s="5" t="s">
        <v>19</v>
      </c>
      <c r="W565" s="5" t="s">
        <v>152</v>
      </c>
      <c r="X565"/>
    </row>
    <row r="566" spans="1:24">
      <c r="A566" t="s">
        <v>69</v>
      </c>
      <c r="B566" t="s">
        <v>19</v>
      </c>
      <c r="C566" t="s">
        <v>31</v>
      </c>
      <c r="D566" t="s">
        <v>187</v>
      </c>
      <c r="E566" t="s">
        <v>19</v>
      </c>
      <c r="F566" t="s">
        <v>19</v>
      </c>
      <c r="G566" t="s">
        <v>19</v>
      </c>
      <c r="H566" t="s">
        <v>19</v>
      </c>
      <c r="I566" t="s">
        <v>19</v>
      </c>
      <c r="J566" t="s">
        <v>97</v>
      </c>
      <c r="K566" s="21" t="s">
        <v>607</v>
      </c>
      <c r="L566" s="5" t="s">
        <v>19</v>
      </c>
      <c r="M566" s="5" t="s">
        <v>19</v>
      </c>
      <c r="N566" s="5" t="s">
        <v>19</v>
      </c>
      <c r="O566" s="5" t="str">
        <f>HYPERLINK("http://www.lghausys.co.kr/popup/rn/download/downloadPopup.jsp?from=plwindow&amp;uu=/upload/window/REPORT/LGH-WA17-112.pdf","1등급")</f>
        <v>1등급</v>
      </c>
      <c r="P566" s="5" t="s">
        <v>19</v>
      </c>
      <c r="Q566" s="5" t="s">
        <v>19</v>
      </c>
      <c r="R566" s="5" t="s">
        <v>19</v>
      </c>
      <c r="S566" s="5" t="s">
        <v>19</v>
      </c>
      <c r="T566" s="5" t="s">
        <v>19</v>
      </c>
      <c r="U566" s="5" t="s">
        <v>19</v>
      </c>
      <c r="V566" s="5" t="s">
        <v>19</v>
      </c>
      <c r="W566" s="5" t="s">
        <v>152</v>
      </c>
      <c r="X566"/>
    </row>
    <row r="567" spans="1:24">
      <c r="A567" t="s">
        <v>73</v>
      </c>
      <c r="B567" t="s">
        <v>19</v>
      </c>
      <c r="C567" t="s">
        <v>14</v>
      </c>
      <c r="D567" t="s">
        <v>28</v>
      </c>
      <c r="E567" t="s">
        <v>19</v>
      </c>
      <c r="F567" t="s">
        <v>19</v>
      </c>
      <c r="G567" t="s">
        <v>19</v>
      </c>
      <c r="H567" t="s">
        <v>28</v>
      </c>
      <c r="I567" t="s">
        <v>19</v>
      </c>
      <c r="J567" t="s">
        <v>74</v>
      </c>
      <c r="K567" s="21" t="s">
        <v>607</v>
      </c>
      <c r="L567" s="5" t="s">
        <v>19</v>
      </c>
      <c r="M567" s="5" t="s">
        <v>19</v>
      </c>
      <c r="N567" s="5" t="s">
        <v>19</v>
      </c>
      <c r="O567" s="5" t="s">
        <v>19</v>
      </c>
      <c r="P567" s="5" t="s">
        <v>19</v>
      </c>
      <c r="Q567" s="5" t="s">
        <v>19</v>
      </c>
      <c r="R567" s="5" t="s">
        <v>19</v>
      </c>
      <c r="S567" s="5" t="s">
        <v>19</v>
      </c>
      <c r="T567" s="5" t="str">
        <f>HYPERLINK("http://www.lghausys.co.kr/popup/rn/download/downloadPopup.jsp?from=plwindow&amp;uu=/upload/window/REPORT/LGH-DA17-017.pdf","결로발생없음")</f>
        <v>결로발생없음</v>
      </c>
      <c r="U567" s="5" t="s">
        <v>19</v>
      </c>
      <c r="V567" s="5" t="s">
        <v>19</v>
      </c>
      <c r="W567" s="5" t="s">
        <v>75</v>
      </c>
      <c r="X567"/>
    </row>
    <row r="568" spans="1:24">
      <c r="A568" t="s">
        <v>73</v>
      </c>
      <c r="B568" t="s">
        <v>19</v>
      </c>
      <c r="C568" t="s">
        <v>15</v>
      </c>
      <c r="D568" t="s">
        <v>25</v>
      </c>
      <c r="E568" t="s">
        <v>19</v>
      </c>
      <c r="F568" t="s">
        <v>19</v>
      </c>
      <c r="G568" t="s">
        <v>19</v>
      </c>
      <c r="H568" t="s">
        <v>28</v>
      </c>
      <c r="I568" t="s">
        <v>19</v>
      </c>
      <c r="J568" t="s">
        <v>74</v>
      </c>
      <c r="K568" s="21" t="s">
        <v>607</v>
      </c>
      <c r="L568" s="5" t="s">
        <v>19</v>
      </c>
      <c r="M568" s="5" t="s">
        <v>19</v>
      </c>
      <c r="N568" s="5" t="s">
        <v>19</v>
      </c>
      <c r="O568" s="5" t="s">
        <v>19</v>
      </c>
      <c r="P568" s="5" t="s">
        <v>19</v>
      </c>
      <c r="Q568" s="5" t="s">
        <v>19</v>
      </c>
      <c r="R568" s="5" t="s">
        <v>19</v>
      </c>
      <c r="S568" s="5" t="s">
        <v>19</v>
      </c>
      <c r="T568" s="5" t="s">
        <v>19</v>
      </c>
      <c r="U568" s="5" t="str">
        <f>HYPERLINK("http://www.lghausys.co.kr/popup/rn/download/downloadPopup.jsp?from=plwindow&amp;uu=/upload/window/REPORT/LGH-DA17-018.pdf","결로발생없음")</f>
        <v>결로발생없음</v>
      </c>
      <c r="V568" s="5" t="s">
        <v>19</v>
      </c>
      <c r="W568" s="5" t="s">
        <v>75</v>
      </c>
      <c r="X568"/>
    </row>
    <row r="569" spans="1:24">
      <c r="A569" t="s">
        <v>19</v>
      </c>
      <c r="B569" t="s">
        <v>48</v>
      </c>
      <c r="C569" t="s">
        <v>31</v>
      </c>
      <c r="D569" t="s">
        <v>41</v>
      </c>
      <c r="E569" t="s">
        <v>19</v>
      </c>
      <c r="F569" t="s">
        <v>19</v>
      </c>
      <c r="G569" t="s">
        <v>19</v>
      </c>
      <c r="H569" t="s">
        <v>41</v>
      </c>
      <c r="I569" t="s">
        <v>19</v>
      </c>
      <c r="J569" t="s">
        <v>74</v>
      </c>
      <c r="K569" s="21" t="s">
        <v>607</v>
      </c>
      <c r="L569" s="5" t="s">
        <v>19</v>
      </c>
      <c r="M569" s="5" t="s">
        <v>19</v>
      </c>
      <c r="N569" s="5" t="s">
        <v>19</v>
      </c>
      <c r="O569" s="5" t="str">
        <f>HYPERLINK("http://www.lghausys.co.kr/popup/rn/download/downloadPopup.jsp?from=plwindow&amp;uu=/upload/window/REPORT/LGH-WA17-115.pdf","1등급")</f>
        <v>1등급</v>
      </c>
      <c r="P569" s="5" t="s">
        <v>19</v>
      </c>
      <c r="Q569" s="5" t="s">
        <v>19</v>
      </c>
      <c r="R569" s="5" t="s">
        <v>19</v>
      </c>
      <c r="S569" s="5" t="s">
        <v>19</v>
      </c>
      <c r="T569" s="5" t="s">
        <v>19</v>
      </c>
      <c r="U569" s="5" t="s">
        <v>19</v>
      </c>
      <c r="V569" s="5" t="s">
        <v>19</v>
      </c>
      <c r="W569" s="5" t="s">
        <v>152</v>
      </c>
      <c r="X569"/>
    </row>
    <row r="570" spans="1:24">
      <c r="A570" t="s">
        <v>19</v>
      </c>
      <c r="B570" t="s">
        <v>90</v>
      </c>
      <c r="C570" t="s">
        <v>20</v>
      </c>
      <c r="D570" t="s">
        <v>25</v>
      </c>
      <c r="E570" t="s">
        <v>19</v>
      </c>
      <c r="F570" t="s">
        <v>19</v>
      </c>
      <c r="G570" t="s">
        <v>19</v>
      </c>
      <c r="H570" t="s">
        <v>25</v>
      </c>
      <c r="I570" t="s">
        <v>19</v>
      </c>
      <c r="J570" t="s">
        <v>74</v>
      </c>
      <c r="K570" s="21" t="str">
        <f>IF(X570&lt;=0.9,HYPERLINK("http://www.lxhausys.co.kr/popup/rn/download/downloadPopup.jsp?from=plwindow&amp;uu=/upload/window/REPORT/LGH-TW17-075.pdf","1등급"),IF(X570&lt;=1.2,HYPERLINK("http://www.lxhausys.co.kr/popup/rn/download/downloadPopup.jsp?from=plwindow&amp;uu=/upload/window/REPORT/LGH-TW17-075.pdf","2등급"),IF(X570&lt;=1.8,HYPERLINK("http://www.lxhausys.co.kr/popup/rn/download/downloadPopup.jsp?from=plwindow&amp;uu=/upload/window/REPORT/LGH-TW17-075.pdf","3등급"),IF(X570&lt;=2.3,HYPERLINK("http://www.lxhausys.co.kr/popup/rn/download/downloadPopup.jsp?from=plwindow&amp;uu=/upload/window/REPORT/LGH-TW17-075.pdf","4등급"),IF(X570&lt;=2.8,HYPERLINK("http://www.lxhausys.co.kr/popup/rn/download/downloadPopup.jsp?from=plwindow&amp;uu=/upload/window/REPORT/LGH-TW17-075.pdf","5등급"),HYPERLINK("http://www.lxhausys.co.kr/popup/rn/download/downloadPopup.jsp?from=plwindow&amp;uu=/upload/window/REPORT/LGH-TW17-075.pdf","등급외"))))))</f>
        <v>3등급</v>
      </c>
      <c r="L570" s="5">
        <v>1.4038999999999999</v>
      </c>
      <c r="M570" s="5" t="s">
        <v>22</v>
      </c>
      <c r="N570" s="5" t="s">
        <v>607</v>
      </c>
      <c r="O570" s="5" t="s">
        <v>19</v>
      </c>
      <c r="P570" s="5" t="s">
        <v>19</v>
      </c>
      <c r="Q570" s="5" t="s">
        <v>19</v>
      </c>
      <c r="R570" s="5" t="s">
        <v>19</v>
      </c>
      <c r="S570" s="5" t="s">
        <v>19</v>
      </c>
      <c r="T570" s="5" t="s">
        <v>19</v>
      </c>
      <c r="U570" s="5" t="s">
        <v>19</v>
      </c>
      <c r="V570" s="5" t="s">
        <v>19</v>
      </c>
      <c r="W570" s="5" t="s">
        <v>19</v>
      </c>
      <c r="X570" s="19">
        <f>L570</f>
        <v>1.4038999999999999</v>
      </c>
    </row>
    <row r="571" spans="1:24">
      <c r="A571" t="s">
        <v>19</v>
      </c>
      <c r="B571" t="s">
        <v>90</v>
      </c>
      <c r="C571" t="s">
        <v>20</v>
      </c>
      <c r="D571" t="s">
        <v>68</v>
      </c>
      <c r="E571" t="s">
        <v>19</v>
      </c>
      <c r="F571" t="s">
        <v>19</v>
      </c>
      <c r="G571" t="s">
        <v>19</v>
      </c>
      <c r="H571" t="s">
        <v>68</v>
      </c>
      <c r="I571" t="s">
        <v>19</v>
      </c>
      <c r="J571" t="s">
        <v>74</v>
      </c>
      <c r="K571" s="21" t="str">
        <f>IF(X571&lt;=0.9,HYPERLINK("http://www.lxhausys.co.kr/popup/rn/download/downloadPopup.jsp?from=plwindow&amp;uu=/upload/window/REPORT/LGH-TW17-076.pdf","1등급"),IF(X571&lt;=1.2,HYPERLINK("http://www.lxhausys.co.kr/popup/rn/download/downloadPopup.jsp?from=plwindow&amp;uu=/upload/window/REPORT/LGH-TW17-076.pdf","2등급"),IF(X571&lt;=1.8,HYPERLINK("http://www.lxhausys.co.kr/popup/rn/download/downloadPopup.jsp?from=plwindow&amp;uu=/upload/window/REPORT/LGH-TW17-076.pdf","3등급"),IF(X571&lt;=2.3,HYPERLINK("http://www.lxhausys.co.kr/popup/rn/download/downloadPopup.jsp?from=plwindow&amp;uu=/upload/window/REPORT/LGH-TW17-076.pdf","4등급"),IF(X571&lt;=2.8,HYPERLINK("http://www.lxhausys.co.kr/popup/rn/download/downloadPopup.jsp?from=plwindow&amp;uu=/upload/window/REPORT/LGH-TW17-076.pdf","5등급"),HYPERLINK("http://www.lxhausys.co.kr/popup/rn/download/downloadPopup.jsp?from=plwindow&amp;uu=/upload/window/REPORT/LGH-TW17-076.pdf","등급외"))))))</f>
        <v>3등급</v>
      </c>
      <c r="L571" s="5">
        <v>1.3134999999999999</v>
      </c>
      <c r="M571" s="5" t="s">
        <v>22</v>
      </c>
      <c r="N571" s="5" t="s">
        <v>607</v>
      </c>
      <c r="O571" s="5" t="s">
        <v>19</v>
      </c>
      <c r="P571" s="5" t="s">
        <v>19</v>
      </c>
      <c r="Q571" s="5" t="s">
        <v>19</v>
      </c>
      <c r="R571" s="5" t="s">
        <v>19</v>
      </c>
      <c r="S571" s="5" t="s">
        <v>19</v>
      </c>
      <c r="T571" s="5" t="s">
        <v>19</v>
      </c>
      <c r="U571" s="5" t="s">
        <v>19</v>
      </c>
      <c r="V571" s="5" t="s">
        <v>19</v>
      </c>
      <c r="W571" s="5" t="s">
        <v>19</v>
      </c>
      <c r="X571" s="19">
        <f>L571</f>
        <v>1.3134999999999999</v>
      </c>
    </row>
    <row r="572" spans="1:24">
      <c r="A572" t="s">
        <v>19</v>
      </c>
      <c r="B572" t="s">
        <v>90</v>
      </c>
      <c r="C572" t="s">
        <v>20</v>
      </c>
      <c r="D572" t="s">
        <v>28</v>
      </c>
      <c r="E572" t="s">
        <v>19</v>
      </c>
      <c r="F572" t="s">
        <v>19</v>
      </c>
      <c r="G572" t="s">
        <v>19</v>
      </c>
      <c r="H572" t="s">
        <v>25</v>
      </c>
      <c r="I572" t="s">
        <v>19</v>
      </c>
      <c r="J572" t="s">
        <v>74</v>
      </c>
      <c r="K572" s="21" t="str">
        <f>IF(X572&lt;=0.9,HYPERLINK("http://www.lxhausys.co.kr/popup/rn/download/downloadPopup.jsp?from=plwindow&amp;uu=/upload/window/REPORT/LGH-TW17-077.pdf","1등급"),IF(X572&lt;=1.2,HYPERLINK("http://www.lxhausys.co.kr/popup/rn/download/downloadPopup.jsp?from=plwindow&amp;uu=/upload/window/REPORT/LGH-TW17-077.pdf","2등급"),IF(X572&lt;=1.8,HYPERLINK("http://www.lxhausys.co.kr/popup/rn/download/downloadPopup.jsp?from=plwindow&amp;uu=/upload/window/REPORT/LGH-TW17-077.pdf","3등급"),IF(X572&lt;=2.3,HYPERLINK("http://www.lxhausys.co.kr/popup/rn/download/downloadPopup.jsp?from=plwindow&amp;uu=/upload/window/REPORT/LGH-TW17-077.pdf","4등급"),IF(X572&lt;=2.8,HYPERLINK("http://www.lxhausys.co.kr/popup/rn/download/downloadPopup.jsp?from=plwindow&amp;uu=/upload/window/REPORT/LGH-TW17-077.pdf","5등급"),HYPERLINK("http://www.lxhausys.co.kr/popup/rn/download/downloadPopup.jsp?from=plwindow&amp;uu=/upload/window/REPORT/LGH-TW17-077.pdf","등급외"))))))</f>
        <v>2등급</v>
      </c>
      <c r="L572" s="5">
        <v>1.0143</v>
      </c>
      <c r="M572" s="5" t="s">
        <v>22</v>
      </c>
      <c r="N572" s="5" t="s">
        <v>607</v>
      </c>
      <c r="O572" s="5" t="s">
        <v>19</v>
      </c>
      <c r="P572" s="5" t="s">
        <v>19</v>
      </c>
      <c r="Q572" s="5" t="s">
        <v>19</v>
      </c>
      <c r="R572" s="5" t="s">
        <v>19</v>
      </c>
      <c r="S572" s="5" t="s">
        <v>19</v>
      </c>
      <c r="T572" s="5" t="s">
        <v>19</v>
      </c>
      <c r="U572" s="5" t="s">
        <v>19</v>
      </c>
      <c r="V572" s="5" t="s">
        <v>19</v>
      </c>
      <c r="W572" s="5" t="s">
        <v>19</v>
      </c>
      <c r="X572" s="19">
        <f>L572</f>
        <v>1.0143</v>
      </c>
    </row>
    <row r="573" spans="1:24">
      <c r="A573" t="s">
        <v>27</v>
      </c>
      <c r="B573" t="s">
        <v>19</v>
      </c>
      <c r="C573" t="s">
        <v>31</v>
      </c>
      <c r="D573" t="s">
        <v>28</v>
      </c>
      <c r="E573" t="s">
        <v>67</v>
      </c>
      <c r="F573" t="s">
        <v>19</v>
      </c>
      <c r="G573" t="s">
        <v>19</v>
      </c>
      <c r="H573" t="s">
        <v>25</v>
      </c>
      <c r="I573" t="s">
        <v>19</v>
      </c>
      <c r="J573" t="s">
        <v>145</v>
      </c>
      <c r="K573" s="21" t="s">
        <v>607</v>
      </c>
      <c r="L573" s="5" t="s">
        <v>19</v>
      </c>
      <c r="M573" s="5" t="s">
        <v>19</v>
      </c>
      <c r="N573" s="5" t="s">
        <v>19</v>
      </c>
      <c r="O573" s="5" t="str">
        <f>HYPERLINK("http://www.lghausys.co.kr/popup/rn/download/downloadPopup.jsp?from=plwindow&amp;uu=/upload/window/REPORT/LGH-WA17-128.pdf","1등급")</f>
        <v>1등급</v>
      </c>
      <c r="P573" s="5" t="str">
        <f>HYPERLINK("http://www.lghausys.co.kr/popup/rn/download/downloadPopup.jsp?from=plwindow&amp;uu=/upload/window/REPORT/LGH-WA17-128.pdf","35등급")</f>
        <v>35등급</v>
      </c>
      <c r="Q573" s="5" t="str">
        <f>HYPERLINK("http://www.lghausys.co.kr/popup/rn/download/downloadPopup.jsp?from=plwindow&amp;uu=/upload/window/REPORT/LGH-WA17-128.pdf","400등급")</f>
        <v>400등급</v>
      </c>
      <c r="R573" s="5" t="s">
        <v>19</v>
      </c>
      <c r="S573" s="5" t="s">
        <v>19</v>
      </c>
      <c r="T573" s="5" t="s">
        <v>19</v>
      </c>
      <c r="U573" s="5" t="s">
        <v>19</v>
      </c>
      <c r="V573" s="5" t="s">
        <v>19</v>
      </c>
      <c r="W573" s="5" t="s">
        <v>152</v>
      </c>
      <c r="X573"/>
    </row>
    <row r="574" spans="1:24">
      <c r="A574" t="s">
        <v>30</v>
      </c>
      <c r="B574" t="s">
        <v>19</v>
      </c>
      <c r="C574" t="s">
        <v>31</v>
      </c>
      <c r="D574" t="s">
        <v>28</v>
      </c>
      <c r="E574" t="s">
        <v>19</v>
      </c>
      <c r="F574" t="s">
        <v>19</v>
      </c>
      <c r="G574" t="s">
        <v>19</v>
      </c>
      <c r="H574" t="s">
        <v>25</v>
      </c>
      <c r="I574" t="s">
        <v>19</v>
      </c>
      <c r="J574" t="s">
        <v>145</v>
      </c>
      <c r="K574" s="21" t="s">
        <v>607</v>
      </c>
      <c r="L574" s="5" t="s">
        <v>19</v>
      </c>
      <c r="M574" s="5" t="s">
        <v>19</v>
      </c>
      <c r="N574" s="5" t="s">
        <v>19</v>
      </c>
      <c r="O574" s="5" t="str">
        <f>HYPERLINK("http://www.lghausys.co.kr/popup/rn/download/downloadPopup.jsp?from=plwindow&amp;uu=/upload/window/REPORT/LGH-WA17-130.pdf","1등급")</f>
        <v>1등급</v>
      </c>
      <c r="P574" s="5" t="s">
        <v>19</v>
      </c>
      <c r="Q574" s="5" t="s">
        <v>19</v>
      </c>
      <c r="R574" s="5" t="s">
        <v>19</v>
      </c>
      <c r="S574" s="5" t="s">
        <v>19</v>
      </c>
      <c r="T574" s="5" t="s">
        <v>19</v>
      </c>
      <c r="U574" s="5" t="s">
        <v>19</v>
      </c>
      <c r="V574" s="5" t="s">
        <v>19</v>
      </c>
      <c r="W574" s="5" t="s">
        <v>152</v>
      </c>
      <c r="X574"/>
    </row>
    <row r="575" spans="1:24">
      <c r="A575" t="s">
        <v>30</v>
      </c>
      <c r="B575" t="s">
        <v>19</v>
      </c>
      <c r="C575" t="s">
        <v>31</v>
      </c>
      <c r="D575" t="s">
        <v>28</v>
      </c>
      <c r="E575" t="s">
        <v>19</v>
      </c>
      <c r="F575" t="s">
        <v>19</v>
      </c>
      <c r="G575" t="s">
        <v>19</v>
      </c>
      <c r="H575" t="s">
        <v>25</v>
      </c>
      <c r="I575" t="s">
        <v>19</v>
      </c>
      <c r="J575" t="s">
        <v>145</v>
      </c>
      <c r="K575" s="21" t="s">
        <v>607</v>
      </c>
      <c r="L575" s="5" t="s">
        <v>19</v>
      </c>
      <c r="M575" s="5" t="s">
        <v>19</v>
      </c>
      <c r="N575" s="5" t="s">
        <v>19</v>
      </c>
      <c r="O575" s="5" t="s">
        <v>19</v>
      </c>
      <c r="P575" s="5" t="str">
        <f>HYPERLINK("http://www.lghausys.co.kr/popup/rn/download/downloadPopup.jsp?from=plwindow&amp;uu=/upload/window/REPORT/LGH-WA17-131.pdf","50등급")</f>
        <v>50등급</v>
      </c>
      <c r="Q575" s="5" t="s">
        <v>19</v>
      </c>
      <c r="R575" s="5" t="s">
        <v>19</v>
      </c>
      <c r="S575" s="5" t="s">
        <v>19</v>
      </c>
      <c r="T575" s="5" t="s">
        <v>19</v>
      </c>
      <c r="U575" s="5" t="s">
        <v>19</v>
      </c>
      <c r="V575" s="5" t="s">
        <v>19</v>
      </c>
      <c r="W575" s="5" t="s">
        <v>152</v>
      </c>
      <c r="X575"/>
    </row>
    <row r="576" spans="1:24">
      <c r="A576" t="s">
        <v>30</v>
      </c>
      <c r="B576" t="s">
        <v>19</v>
      </c>
      <c r="C576" t="s">
        <v>31</v>
      </c>
      <c r="D576" t="s">
        <v>28</v>
      </c>
      <c r="E576" t="s">
        <v>19</v>
      </c>
      <c r="F576" t="s">
        <v>19</v>
      </c>
      <c r="G576" t="s">
        <v>19</v>
      </c>
      <c r="H576" t="s">
        <v>25</v>
      </c>
      <c r="I576" t="s">
        <v>19</v>
      </c>
      <c r="J576" t="s">
        <v>145</v>
      </c>
      <c r="K576" s="21" t="s">
        <v>607</v>
      </c>
      <c r="L576" s="5" t="s">
        <v>19</v>
      </c>
      <c r="M576" s="5" t="s">
        <v>19</v>
      </c>
      <c r="N576" s="5" t="s">
        <v>19</v>
      </c>
      <c r="O576" s="5" t="s">
        <v>19</v>
      </c>
      <c r="P576" s="5" t="s">
        <v>19</v>
      </c>
      <c r="Q576" s="5" t="str">
        <f>HYPERLINK("http://www.lghausys.co.kr/popup/rn/download/downloadPopup.jsp?from=plwindow&amp;uu=/upload/window/REPORT/LGH-WA17-132.pdf","360등급")</f>
        <v>360등급</v>
      </c>
      <c r="R576" s="5" t="s">
        <v>19</v>
      </c>
      <c r="S576" s="5" t="s">
        <v>19</v>
      </c>
      <c r="T576" s="5" t="s">
        <v>19</v>
      </c>
      <c r="U576" s="5" t="s">
        <v>19</v>
      </c>
      <c r="V576" s="5" t="s">
        <v>19</v>
      </c>
      <c r="W576" s="5" t="s">
        <v>152</v>
      </c>
      <c r="X576"/>
    </row>
    <row r="577" spans="1:24">
      <c r="A577" t="s">
        <v>78</v>
      </c>
      <c r="B577" t="s">
        <v>19</v>
      </c>
      <c r="C577" t="s">
        <v>31</v>
      </c>
      <c r="D577" t="s">
        <v>41</v>
      </c>
      <c r="E577" t="s">
        <v>178</v>
      </c>
      <c r="F577" t="s">
        <v>19</v>
      </c>
      <c r="G577" t="s">
        <v>19</v>
      </c>
      <c r="H577" t="s">
        <v>19</v>
      </c>
      <c r="I577" t="s">
        <v>19</v>
      </c>
      <c r="J577" t="s">
        <v>97</v>
      </c>
      <c r="K577" s="21" t="s">
        <v>607</v>
      </c>
      <c r="L577" s="5" t="s">
        <v>19</v>
      </c>
      <c r="M577" s="5" t="s">
        <v>19</v>
      </c>
      <c r="N577" s="5" t="s">
        <v>19</v>
      </c>
      <c r="O577" s="5" t="str">
        <f>HYPERLINK("http://www.lghausys.co.kr/popup/rn/download/downloadPopup.jsp?from=plwindow&amp;uu=/upload/window/REPORT/LGH-WA17-133.pdf","2등급")</f>
        <v>2등급</v>
      </c>
      <c r="P577" s="5" t="s">
        <v>19</v>
      </c>
      <c r="Q577" s="5" t="s">
        <v>19</v>
      </c>
      <c r="R577" s="5" t="s">
        <v>19</v>
      </c>
      <c r="S577" s="5" t="s">
        <v>19</v>
      </c>
      <c r="T577" s="5" t="s">
        <v>19</v>
      </c>
      <c r="U577" s="5" t="s">
        <v>19</v>
      </c>
      <c r="V577" s="5" t="s">
        <v>19</v>
      </c>
      <c r="W577" s="5" t="s">
        <v>152</v>
      </c>
      <c r="X577"/>
    </row>
    <row r="578" spans="1:24">
      <c r="A578" t="s">
        <v>19</v>
      </c>
      <c r="B578" t="s">
        <v>124</v>
      </c>
      <c r="C578" t="s">
        <v>31</v>
      </c>
      <c r="D578" t="s">
        <v>25</v>
      </c>
      <c r="E578" t="s">
        <v>19</v>
      </c>
      <c r="F578" t="s">
        <v>19</v>
      </c>
      <c r="G578" t="s">
        <v>19</v>
      </c>
      <c r="H578" t="s">
        <v>28</v>
      </c>
      <c r="I578" t="s">
        <v>19</v>
      </c>
      <c r="J578" t="s">
        <v>74</v>
      </c>
      <c r="K578" s="21" t="s">
        <v>607</v>
      </c>
      <c r="L578" s="5" t="s">
        <v>19</v>
      </c>
      <c r="M578" s="5" t="s">
        <v>19</v>
      </c>
      <c r="N578" s="5" t="s">
        <v>19</v>
      </c>
      <c r="O578" s="5" t="s">
        <v>19</v>
      </c>
      <c r="P578" s="5" t="s">
        <v>19</v>
      </c>
      <c r="Q578" s="5" t="str">
        <f>HYPERLINK("http://www.lghausys.co.kr/popup/rn/download/downloadPopup.jsp?from=plwindow&amp;uu=/upload/window/REPORT/LGH-WA17-134.pdf","400등급")</f>
        <v>400등급</v>
      </c>
      <c r="R578" s="5" t="s">
        <v>19</v>
      </c>
      <c r="S578" s="5" t="s">
        <v>19</v>
      </c>
      <c r="T578" s="5" t="s">
        <v>19</v>
      </c>
      <c r="U578" s="5" t="s">
        <v>19</v>
      </c>
      <c r="V578" s="5" t="s">
        <v>19</v>
      </c>
      <c r="W578" s="5" t="s">
        <v>152</v>
      </c>
      <c r="X578"/>
    </row>
    <row r="579" spans="1:24">
      <c r="A579" t="s">
        <v>174</v>
      </c>
      <c r="B579" t="s">
        <v>19</v>
      </c>
      <c r="C579" t="s">
        <v>14</v>
      </c>
      <c r="D579" t="s">
        <v>28</v>
      </c>
      <c r="E579" t="s">
        <v>19</v>
      </c>
      <c r="F579" t="s">
        <v>19</v>
      </c>
      <c r="G579" t="s">
        <v>19</v>
      </c>
      <c r="H579" t="s">
        <v>28</v>
      </c>
      <c r="I579" t="s">
        <v>19</v>
      </c>
      <c r="J579" t="s">
        <v>74</v>
      </c>
      <c r="K579" s="21" t="s">
        <v>607</v>
      </c>
      <c r="L579" s="5" t="s">
        <v>19</v>
      </c>
      <c r="M579" s="5" t="s">
        <v>19</v>
      </c>
      <c r="N579" s="5" t="s">
        <v>19</v>
      </c>
      <c r="O579" s="5" t="s">
        <v>19</v>
      </c>
      <c r="P579" s="5" t="s">
        <v>19</v>
      </c>
      <c r="Q579" s="5" t="s">
        <v>19</v>
      </c>
      <c r="R579" s="5" t="s">
        <v>19</v>
      </c>
      <c r="S579" s="5" t="s">
        <v>19</v>
      </c>
      <c r="T579" s="5" t="str">
        <f>HYPERLINK("http://www.lghausys.co.kr/popup/rn/download/downloadPopup.jsp?from=plwindow&amp;uu=/upload/window/REPORT/LGH-DA17-020.pdf","결로발생없음")</f>
        <v>결로발생없음</v>
      </c>
      <c r="U579" s="5" t="s">
        <v>19</v>
      </c>
      <c r="V579" s="5" t="s">
        <v>19</v>
      </c>
      <c r="W579" s="5" t="s">
        <v>75</v>
      </c>
      <c r="X579"/>
    </row>
    <row r="580" spans="1:24">
      <c r="A580" t="s">
        <v>73</v>
      </c>
      <c r="B580" t="s">
        <v>19</v>
      </c>
      <c r="C580" t="s">
        <v>34</v>
      </c>
      <c r="D580" t="s">
        <v>25</v>
      </c>
      <c r="E580" t="s">
        <v>19</v>
      </c>
      <c r="F580" t="s">
        <v>19</v>
      </c>
      <c r="G580" t="s">
        <v>19</v>
      </c>
      <c r="H580" t="s">
        <v>188</v>
      </c>
      <c r="I580" t="s">
        <v>19</v>
      </c>
      <c r="J580" t="s">
        <v>74</v>
      </c>
      <c r="K580" s="21" t="s">
        <v>607</v>
      </c>
      <c r="L580" s="5" t="s">
        <v>19</v>
      </c>
      <c r="M580" s="5" t="s">
        <v>19</v>
      </c>
      <c r="N580" s="5" t="str">
        <f>HYPERLINK("http://www.lghausys.co.kr/popup/rn/download/downloadPopup.jsp?from=plwindow&amp;uu=/upload/window/REPORT/LGH-TA17-120.pdf","0.9976")</f>
        <v>0.9976</v>
      </c>
      <c r="O580" s="5" t="s">
        <v>19</v>
      </c>
      <c r="P580" s="5" t="s">
        <v>19</v>
      </c>
      <c r="Q580" s="5" t="s">
        <v>19</v>
      </c>
      <c r="R580" s="5" t="s">
        <v>19</v>
      </c>
      <c r="S580" s="5" t="s">
        <v>19</v>
      </c>
      <c r="T580" s="5" t="s">
        <v>19</v>
      </c>
      <c r="U580" s="5" t="s">
        <v>19</v>
      </c>
      <c r="V580" s="5" t="s">
        <v>19</v>
      </c>
      <c r="W580" s="5" t="s">
        <v>75</v>
      </c>
      <c r="X580"/>
    </row>
    <row r="581" spans="1:24">
      <c r="A581" t="s">
        <v>73</v>
      </c>
      <c r="B581" t="s">
        <v>19</v>
      </c>
      <c r="C581" t="s">
        <v>34</v>
      </c>
      <c r="D581" t="s">
        <v>25</v>
      </c>
      <c r="E581" t="s">
        <v>19</v>
      </c>
      <c r="F581" t="s">
        <v>19</v>
      </c>
      <c r="G581" t="s">
        <v>19</v>
      </c>
      <c r="H581" t="s">
        <v>189</v>
      </c>
      <c r="I581" t="s">
        <v>19</v>
      </c>
      <c r="J581" t="s">
        <v>74</v>
      </c>
      <c r="K581" s="21" t="s">
        <v>607</v>
      </c>
      <c r="L581" s="5" t="s">
        <v>19</v>
      </c>
      <c r="M581" s="5" t="s">
        <v>19</v>
      </c>
      <c r="N581" s="5" t="str">
        <f>HYPERLINK("http://www.lghausys.co.kr/popup/rn/download/downloadPopup.jsp?from=plwindow&amp;uu=/upload/window/REPORT/LGH-TA17-121.pdf","1.0963")</f>
        <v>1.0963</v>
      </c>
      <c r="O581" s="5" t="s">
        <v>19</v>
      </c>
      <c r="P581" s="5" t="s">
        <v>19</v>
      </c>
      <c r="Q581" s="5" t="s">
        <v>19</v>
      </c>
      <c r="R581" s="5" t="s">
        <v>19</v>
      </c>
      <c r="S581" s="5" t="s">
        <v>19</v>
      </c>
      <c r="T581" s="5" t="s">
        <v>19</v>
      </c>
      <c r="U581" s="5" t="s">
        <v>19</v>
      </c>
      <c r="V581" s="5" t="s">
        <v>19</v>
      </c>
      <c r="W581" s="5" t="s">
        <v>75</v>
      </c>
      <c r="X581"/>
    </row>
    <row r="582" spans="1:24">
      <c r="A582" t="s">
        <v>62</v>
      </c>
      <c r="B582" t="s">
        <v>19</v>
      </c>
      <c r="C582" t="s">
        <v>20</v>
      </c>
      <c r="D582" t="s">
        <v>68</v>
      </c>
      <c r="E582" t="s">
        <v>19</v>
      </c>
      <c r="F582" t="s">
        <v>19</v>
      </c>
      <c r="G582" t="s">
        <v>19</v>
      </c>
      <c r="H582" t="s">
        <v>68</v>
      </c>
      <c r="I582" t="s">
        <v>19</v>
      </c>
      <c r="J582" t="s">
        <v>74</v>
      </c>
      <c r="K582" s="21" t="str">
        <f>IF(X582&lt;=0.9,HYPERLINK("http://www.lxhausys.co.kr/popup/rn/download/downloadPopup.jsp?from=plwindow&amp;uu=/upload/window/REPORT/LGH-TW17-085.pdf","1등급"),IF(X582&lt;=1.2,HYPERLINK("http://www.lxhausys.co.kr/popup/rn/download/downloadPopup.jsp?from=plwindow&amp;uu=/upload/window/REPORT/LGH-TW17-085.pdf","2등급"),IF(X582&lt;=1.8,HYPERLINK("http://www.lxhausys.co.kr/popup/rn/download/downloadPopup.jsp?from=plwindow&amp;uu=/upload/window/REPORT/LGH-TW17-085.pdf","3등급"),IF(X582&lt;=2.3,HYPERLINK("http://www.lxhausys.co.kr/popup/rn/download/downloadPopup.jsp?from=plwindow&amp;uu=/upload/window/REPORT/LGH-TW17-085.pdf","4등급"),IF(X582&lt;=2.8,HYPERLINK("http://www.lxhausys.co.kr/popup/rn/download/downloadPopup.jsp?from=plwindow&amp;uu=/upload/window/REPORT/LGH-TW17-085.pdf","5등급"),HYPERLINK("http://www.lxhausys.co.kr/popup/rn/download/downloadPopup.jsp?from=plwindow&amp;uu=/upload/window/REPORT/LGH-TW17-085.pdf","등급외"))))))</f>
        <v>3등급</v>
      </c>
      <c r="L582" s="5">
        <v>1.2991999999999999</v>
      </c>
      <c r="M582" s="5" t="s">
        <v>22</v>
      </c>
      <c r="N582" s="5" t="s">
        <v>607</v>
      </c>
      <c r="O582" s="5" t="s">
        <v>19</v>
      </c>
      <c r="P582" s="5" t="s">
        <v>19</v>
      </c>
      <c r="Q582" s="5" t="s">
        <v>19</v>
      </c>
      <c r="R582" s="5" t="s">
        <v>19</v>
      </c>
      <c r="S582" s="5" t="s">
        <v>19</v>
      </c>
      <c r="T582" s="5" t="s">
        <v>19</v>
      </c>
      <c r="U582" s="5" t="s">
        <v>19</v>
      </c>
      <c r="V582" s="5" t="s">
        <v>19</v>
      </c>
      <c r="W582" s="5" t="s">
        <v>19</v>
      </c>
      <c r="X582" s="19">
        <f>L582</f>
        <v>1.2991999999999999</v>
      </c>
    </row>
    <row r="583" spans="1:24">
      <c r="A583" t="s">
        <v>62</v>
      </c>
      <c r="B583" t="s">
        <v>19</v>
      </c>
      <c r="C583" t="s">
        <v>20</v>
      </c>
      <c r="D583" t="s">
        <v>102</v>
      </c>
      <c r="E583" t="s">
        <v>19</v>
      </c>
      <c r="F583" t="s">
        <v>19</v>
      </c>
      <c r="G583" t="s">
        <v>19</v>
      </c>
      <c r="H583" t="s">
        <v>102</v>
      </c>
      <c r="I583" t="s">
        <v>19</v>
      </c>
      <c r="J583" t="s">
        <v>99</v>
      </c>
      <c r="K583" s="21" t="str">
        <f>IF(X583&lt;=0.9,HYPERLINK("http://www.lxhausys.co.kr/popup/rn/download/downloadPopup.jsp?from=plwindow&amp;uu=/upload/window/REPORT/LGH-TW17-086.pdf","1등급"),IF(X583&lt;=1.2,HYPERLINK("http://www.lxhausys.co.kr/popup/rn/download/downloadPopup.jsp?from=plwindow&amp;uu=/upload/window/REPORT/LGH-TW17-086.pdf","2등급"),IF(X583&lt;=1.8,HYPERLINK("http://www.lxhausys.co.kr/popup/rn/download/downloadPopup.jsp?from=plwindow&amp;uu=/upload/window/REPORT/LGH-TW17-086.pdf","3등급"),IF(X583&lt;=2.3,HYPERLINK("http://www.lxhausys.co.kr/popup/rn/download/downloadPopup.jsp?from=plwindow&amp;uu=/upload/window/REPORT/LGH-TW17-086.pdf","4등급"),IF(X583&lt;=2.8,HYPERLINK("http://www.lxhausys.co.kr/popup/rn/download/downloadPopup.jsp?from=plwindow&amp;uu=/upload/window/REPORT/LGH-TW17-086.pdf","5등급"),HYPERLINK("http://www.lxhausys.co.kr/popup/rn/download/downloadPopup.jsp?from=plwindow&amp;uu=/upload/window/REPORT/LGH-TW17-086.pdf","등급외"))))))</f>
        <v>1등급</v>
      </c>
      <c r="L583" s="5">
        <v>0.82199999999999995</v>
      </c>
      <c r="M583" s="5" t="s">
        <v>22</v>
      </c>
      <c r="N583" s="5" t="s">
        <v>607</v>
      </c>
      <c r="O583" s="5" t="s">
        <v>19</v>
      </c>
      <c r="P583" s="5" t="s">
        <v>19</v>
      </c>
      <c r="Q583" s="5" t="s">
        <v>19</v>
      </c>
      <c r="R583" s="5" t="s">
        <v>19</v>
      </c>
      <c r="S583" s="5" t="s">
        <v>19</v>
      </c>
      <c r="T583" s="5" t="s">
        <v>19</v>
      </c>
      <c r="U583" s="5" t="s">
        <v>19</v>
      </c>
      <c r="V583" s="5" t="s">
        <v>19</v>
      </c>
      <c r="W583" s="5" t="s">
        <v>19</v>
      </c>
      <c r="X583" s="19">
        <f>L583</f>
        <v>0.82199999999999995</v>
      </c>
    </row>
    <row r="584" spans="1:24">
      <c r="A584" t="s">
        <v>95</v>
      </c>
      <c r="B584" t="s">
        <v>19</v>
      </c>
      <c r="C584" t="s">
        <v>34</v>
      </c>
      <c r="D584" t="s">
        <v>41</v>
      </c>
      <c r="E584" t="s">
        <v>19</v>
      </c>
      <c r="F584" t="s">
        <v>19</v>
      </c>
      <c r="G584" t="s">
        <v>19</v>
      </c>
      <c r="H584" t="s">
        <v>19</v>
      </c>
      <c r="I584" t="s">
        <v>19</v>
      </c>
      <c r="J584" t="s">
        <v>97</v>
      </c>
      <c r="K584" s="21" t="s">
        <v>607</v>
      </c>
      <c r="L584" s="5" t="s">
        <v>19</v>
      </c>
      <c r="M584" s="5" t="s">
        <v>19</v>
      </c>
      <c r="N584" s="5" t="str">
        <f>HYPERLINK("http://www.lghausys.co.kr/popup/rn/download/downloadPopup.jsp?from=plwindow&amp;uu=/upload/window/REPORT/LGH-TA17-124.pdf","3.0469")</f>
        <v>3.0469</v>
      </c>
      <c r="O584" s="5" t="s">
        <v>19</v>
      </c>
      <c r="P584" s="5" t="s">
        <v>19</v>
      </c>
      <c r="Q584" s="5" t="s">
        <v>19</v>
      </c>
      <c r="R584" s="5" t="s">
        <v>19</v>
      </c>
      <c r="S584" s="5" t="s">
        <v>19</v>
      </c>
      <c r="T584" s="5" t="s">
        <v>19</v>
      </c>
      <c r="U584" s="5" t="s">
        <v>19</v>
      </c>
      <c r="V584" s="5" t="s">
        <v>19</v>
      </c>
      <c r="W584" s="5" t="s">
        <v>75</v>
      </c>
      <c r="X584"/>
    </row>
    <row r="585" spans="1:24">
      <c r="A585" t="s">
        <v>95</v>
      </c>
      <c r="B585" t="s">
        <v>19</v>
      </c>
      <c r="C585" t="s">
        <v>34</v>
      </c>
      <c r="D585" t="s">
        <v>79</v>
      </c>
      <c r="E585" t="s">
        <v>19</v>
      </c>
      <c r="F585" t="s">
        <v>19</v>
      </c>
      <c r="G585" t="s">
        <v>19</v>
      </c>
      <c r="H585" t="s">
        <v>19</v>
      </c>
      <c r="I585" t="s">
        <v>19</v>
      </c>
      <c r="J585" t="s">
        <v>190</v>
      </c>
      <c r="K585" s="21" t="s">
        <v>607</v>
      </c>
      <c r="L585" s="5" t="s">
        <v>19</v>
      </c>
      <c r="M585" s="5" t="s">
        <v>19</v>
      </c>
      <c r="N585" s="5" t="str">
        <f>HYPERLINK("http://www.lghausys.co.kr/popup/rn/download/downloadPopup.jsp?from=plwindow&amp;uu=/upload/window/REPORT/LGH-TA17-125.pdf","4.9092")</f>
        <v>4.9092</v>
      </c>
      <c r="O585" s="5" t="s">
        <v>19</v>
      </c>
      <c r="P585" s="5" t="s">
        <v>19</v>
      </c>
      <c r="Q585" s="5" t="s">
        <v>19</v>
      </c>
      <c r="R585" s="5" t="s">
        <v>19</v>
      </c>
      <c r="S585" s="5" t="s">
        <v>19</v>
      </c>
      <c r="T585" s="5" t="s">
        <v>19</v>
      </c>
      <c r="U585" s="5" t="s">
        <v>19</v>
      </c>
      <c r="V585" s="5" t="s">
        <v>19</v>
      </c>
      <c r="W585" s="5" t="s">
        <v>75</v>
      </c>
      <c r="X585"/>
    </row>
    <row r="586" spans="1:24">
      <c r="A586" t="s">
        <v>57</v>
      </c>
      <c r="B586" t="s">
        <v>58</v>
      </c>
      <c r="C586" t="s">
        <v>34</v>
      </c>
      <c r="D586" t="s">
        <v>41</v>
      </c>
      <c r="E586" t="s">
        <v>19</v>
      </c>
      <c r="F586" t="s">
        <v>19</v>
      </c>
      <c r="G586" t="s">
        <v>19</v>
      </c>
      <c r="H586" t="s">
        <v>19</v>
      </c>
      <c r="I586" t="s">
        <v>19</v>
      </c>
      <c r="J586" t="s">
        <v>191</v>
      </c>
      <c r="K586" s="21" t="s">
        <v>607</v>
      </c>
      <c r="L586" s="5" t="s">
        <v>19</v>
      </c>
      <c r="M586" s="5" t="s">
        <v>19</v>
      </c>
      <c r="N586" s="5" t="str">
        <f>HYPERLINK("http://www.lghausys.co.kr/popup/rn/download/downloadPopup.jsp?from=plwindow&amp;uu=/upload/window/REPORT/LGH-TA17-151.pdf","3.3864")</f>
        <v>3.3864</v>
      </c>
      <c r="O586" s="5" t="s">
        <v>19</v>
      </c>
      <c r="P586" s="5" t="s">
        <v>19</v>
      </c>
      <c r="Q586" s="5" t="s">
        <v>19</v>
      </c>
      <c r="R586" s="5" t="s">
        <v>19</v>
      </c>
      <c r="S586" s="5" t="s">
        <v>19</v>
      </c>
      <c r="T586" s="5" t="s">
        <v>19</v>
      </c>
      <c r="U586" s="5" t="s">
        <v>19</v>
      </c>
      <c r="V586" s="5" t="s">
        <v>19</v>
      </c>
      <c r="W586" s="5" t="s">
        <v>75</v>
      </c>
      <c r="X586"/>
    </row>
    <row r="587" spans="1:24">
      <c r="A587" t="s">
        <v>42</v>
      </c>
      <c r="B587" t="s">
        <v>43</v>
      </c>
      <c r="C587" t="s">
        <v>34</v>
      </c>
      <c r="D587" t="s">
        <v>28</v>
      </c>
      <c r="E587" t="s">
        <v>19</v>
      </c>
      <c r="F587" t="s">
        <v>19</v>
      </c>
      <c r="G587" t="s">
        <v>19</v>
      </c>
      <c r="H587" t="s">
        <v>19</v>
      </c>
      <c r="I587" t="s">
        <v>19</v>
      </c>
      <c r="J587" t="s">
        <v>184</v>
      </c>
      <c r="K587" s="21" t="s">
        <v>607</v>
      </c>
      <c r="L587" s="5" t="s">
        <v>19</v>
      </c>
      <c r="M587" s="5" t="s">
        <v>19</v>
      </c>
      <c r="N587" s="5" t="str">
        <f>HYPERLINK("http://www.lghausys.co.kr/popup/rn/download/downloadPopup.jsp?from=plwindow&amp;uu=/upload/window/REPORT/LGH-TA17-152.pdf","2.0912")</f>
        <v>2.0912</v>
      </c>
      <c r="O587" s="5" t="s">
        <v>19</v>
      </c>
      <c r="P587" s="5" t="s">
        <v>19</v>
      </c>
      <c r="Q587" s="5" t="s">
        <v>19</v>
      </c>
      <c r="R587" s="5" t="s">
        <v>19</v>
      </c>
      <c r="S587" s="5" t="s">
        <v>19</v>
      </c>
      <c r="T587" s="5" t="s">
        <v>19</v>
      </c>
      <c r="U587" s="5" t="s">
        <v>19</v>
      </c>
      <c r="V587" s="5" t="s">
        <v>19</v>
      </c>
      <c r="W587" s="5" t="s">
        <v>75</v>
      </c>
      <c r="X587"/>
    </row>
    <row r="588" spans="1:24">
      <c r="A588" t="s">
        <v>30</v>
      </c>
      <c r="B588" t="s">
        <v>19</v>
      </c>
      <c r="C588" t="s">
        <v>31</v>
      </c>
      <c r="D588" t="s">
        <v>28</v>
      </c>
      <c r="E588" t="s">
        <v>19</v>
      </c>
      <c r="F588" t="s">
        <v>19</v>
      </c>
      <c r="G588" t="s">
        <v>19</v>
      </c>
      <c r="H588" t="s">
        <v>25</v>
      </c>
      <c r="I588" t="s">
        <v>19</v>
      </c>
      <c r="J588" t="s">
        <v>145</v>
      </c>
      <c r="K588" s="21" t="s">
        <v>607</v>
      </c>
      <c r="L588" s="5" t="s">
        <v>19</v>
      </c>
      <c r="M588" s="5" t="s">
        <v>19</v>
      </c>
      <c r="N588" s="5" t="s">
        <v>19</v>
      </c>
      <c r="O588" s="5" t="str">
        <f>HYPERLINK("http://www.lghausys.co.kr/popup/rn/download/downloadPopup.jsp?from=plwindow&amp;uu=/upload/window/REPORT/LGH-WA17-153.pdf","1등급")</f>
        <v>1등급</v>
      </c>
      <c r="P588" s="5" t="str">
        <f>HYPERLINK("http://www.lghausys.co.kr/popup/rn/download/downloadPopup.jsp?from=plwindow&amp;uu=/upload/window/REPORT/LGH-WA17-153.pdf","50등급")</f>
        <v>50등급</v>
      </c>
      <c r="Q588" s="5" t="str">
        <f>HYPERLINK("http://www.lghausys.co.kr/popup/rn/download/downloadPopup.jsp?from=plwindow&amp;uu=/upload/window/REPORT/LGH-WA17-153.pdf","400등급")</f>
        <v>400등급</v>
      </c>
      <c r="R588" s="5" t="s">
        <v>19</v>
      </c>
      <c r="S588" s="5" t="s">
        <v>19</v>
      </c>
      <c r="T588" s="5" t="s">
        <v>19</v>
      </c>
      <c r="U588" s="5" t="s">
        <v>19</v>
      </c>
      <c r="V588" s="5" t="s">
        <v>19</v>
      </c>
      <c r="W588" s="5" t="s">
        <v>152</v>
      </c>
      <c r="X588"/>
    </row>
    <row r="589" spans="1:24">
      <c r="A589" t="s">
        <v>95</v>
      </c>
      <c r="B589" t="s">
        <v>19</v>
      </c>
      <c r="C589" t="s">
        <v>31</v>
      </c>
      <c r="D589" t="s">
        <v>79</v>
      </c>
      <c r="E589" t="s">
        <v>19</v>
      </c>
      <c r="F589" t="s">
        <v>19</v>
      </c>
      <c r="G589" t="s">
        <v>19</v>
      </c>
      <c r="H589" t="s">
        <v>19</v>
      </c>
      <c r="I589" t="s">
        <v>19</v>
      </c>
      <c r="J589" t="s">
        <v>190</v>
      </c>
      <c r="K589" s="21" t="s">
        <v>607</v>
      </c>
      <c r="L589" s="5" t="s">
        <v>19</v>
      </c>
      <c r="M589" s="5" t="s">
        <v>19</v>
      </c>
      <c r="N589" s="5" t="s">
        <v>19</v>
      </c>
      <c r="O589" s="5" t="str">
        <f>HYPERLINK("http://www.lghausys.co.kr/popup/rn/download/downloadPopup.jsp?from=plwindow&amp;uu=/upload/window/REPORT/LGH-WA17-154.pdf","1등급")</f>
        <v>1등급</v>
      </c>
      <c r="P589" s="5" t="s">
        <v>19</v>
      </c>
      <c r="Q589" s="5" t="s">
        <v>19</v>
      </c>
      <c r="R589" s="5" t="s">
        <v>19</v>
      </c>
      <c r="S589" s="5" t="s">
        <v>19</v>
      </c>
      <c r="T589" s="5" t="s">
        <v>19</v>
      </c>
      <c r="U589" s="5" t="s">
        <v>19</v>
      </c>
      <c r="V589" s="5" t="s">
        <v>19</v>
      </c>
      <c r="W589" s="5" t="s">
        <v>152</v>
      </c>
      <c r="X589"/>
    </row>
    <row r="590" spans="1:24">
      <c r="A590" t="s">
        <v>95</v>
      </c>
      <c r="B590" t="s">
        <v>19</v>
      </c>
      <c r="C590" t="s">
        <v>31</v>
      </c>
      <c r="D590" t="s">
        <v>41</v>
      </c>
      <c r="E590" t="s">
        <v>19</v>
      </c>
      <c r="F590" t="s">
        <v>19</v>
      </c>
      <c r="G590" t="s">
        <v>19</v>
      </c>
      <c r="H590" t="s">
        <v>19</v>
      </c>
      <c r="I590" t="s">
        <v>19</v>
      </c>
      <c r="J590" t="s">
        <v>97</v>
      </c>
      <c r="K590" s="21" t="s">
        <v>607</v>
      </c>
      <c r="L590" s="5" t="s">
        <v>19</v>
      </c>
      <c r="M590" s="5" t="s">
        <v>19</v>
      </c>
      <c r="N590" s="5" t="s">
        <v>19</v>
      </c>
      <c r="O590" s="5" t="s">
        <v>19</v>
      </c>
      <c r="P590" s="5" t="str">
        <f>HYPERLINK("http://www.lghausys.co.kr/popup/rn/download/downloadPopup.jsp?from=plwindow&amp;uu=/upload/window/REPORT/LGH-WA17-156.pdf","35등급")</f>
        <v>35등급</v>
      </c>
      <c r="Q590" s="5" t="s">
        <v>19</v>
      </c>
      <c r="R590" s="5" t="s">
        <v>19</v>
      </c>
      <c r="S590" s="5" t="s">
        <v>19</v>
      </c>
      <c r="T590" s="5" t="s">
        <v>19</v>
      </c>
      <c r="U590" s="5" t="s">
        <v>19</v>
      </c>
      <c r="V590" s="5" t="s">
        <v>19</v>
      </c>
      <c r="W590" s="5" t="s">
        <v>152</v>
      </c>
      <c r="X590"/>
    </row>
    <row r="591" spans="1:24">
      <c r="A591" t="s">
        <v>95</v>
      </c>
      <c r="B591" t="s">
        <v>19</v>
      </c>
      <c r="C591" t="s">
        <v>31</v>
      </c>
      <c r="D591" t="s">
        <v>41</v>
      </c>
      <c r="E591" t="s">
        <v>19</v>
      </c>
      <c r="F591" t="s">
        <v>19</v>
      </c>
      <c r="G591" t="s">
        <v>19</v>
      </c>
      <c r="H591" t="s">
        <v>19</v>
      </c>
      <c r="I591" t="s">
        <v>19</v>
      </c>
      <c r="J591" t="s">
        <v>97</v>
      </c>
      <c r="K591" s="21" t="s">
        <v>607</v>
      </c>
      <c r="L591" s="5" t="s">
        <v>19</v>
      </c>
      <c r="M591" s="5" t="s">
        <v>19</v>
      </c>
      <c r="N591" s="5" t="s">
        <v>19</v>
      </c>
      <c r="O591" s="5" t="s">
        <v>19</v>
      </c>
      <c r="P591" s="5" t="s">
        <v>19</v>
      </c>
      <c r="Q591" s="5" t="str">
        <f>HYPERLINK("http://www.lghausys.co.kr/popup/rn/download/downloadPopup.jsp?from=plwindow&amp;uu=/upload/window/REPORT/LGH-WA17-157.pdf","240등급")</f>
        <v>240등급</v>
      </c>
      <c r="R591" s="5" t="s">
        <v>19</v>
      </c>
      <c r="S591" s="5" t="s">
        <v>19</v>
      </c>
      <c r="T591" s="5" t="s">
        <v>19</v>
      </c>
      <c r="U591" s="5" t="s">
        <v>19</v>
      </c>
      <c r="V591" s="5" t="s">
        <v>19</v>
      </c>
      <c r="W591" s="5" t="s">
        <v>152</v>
      </c>
      <c r="X591"/>
    </row>
    <row r="592" spans="1:24">
      <c r="A592" t="s">
        <v>52</v>
      </c>
      <c r="B592" t="s">
        <v>19</v>
      </c>
      <c r="C592" t="s">
        <v>31</v>
      </c>
      <c r="D592" t="s">
        <v>25</v>
      </c>
      <c r="E592" t="s">
        <v>19</v>
      </c>
      <c r="F592" t="s">
        <v>19</v>
      </c>
      <c r="G592" t="s">
        <v>19</v>
      </c>
      <c r="H592" t="s">
        <v>28</v>
      </c>
      <c r="I592" t="s">
        <v>19</v>
      </c>
      <c r="J592" t="s">
        <v>99</v>
      </c>
      <c r="K592" s="21" t="s">
        <v>607</v>
      </c>
      <c r="L592" s="5" t="s">
        <v>19</v>
      </c>
      <c r="M592" s="5" t="s">
        <v>19</v>
      </c>
      <c r="N592" s="5" t="s">
        <v>19</v>
      </c>
      <c r="O592" s="5" t="str">
        <f>HYPERLINK("http://www.lghausys.co.kr/popup/rn/download/downloadPopup.jsp?from=plwindow&amp;uu=/upload/window/REPORT/LGH-WA17-159.pdf","1등급")</f>
        <v>1등급</v>
      </c>
      <c r="P592" s="5" t="str">
        <f>HYPERLINK("http://www.lghausys.co.kr/popup/rn/download/downloadPopup.jsp?from=plwindow&amp;uu=/upload/window/REPORT/LGH-WA17-159.pdf","50등급")</f>
        <v>50등급</v>
      </c>
      <c r="Q592" s="5" t="str">
        <f>HYPERLINK("http://www.lghausys.co.kr/popup/rn/download/downloadPopup.jsp?from=plwindow&amp;uu=/upload/window/REPORT/LGH-WA17-159.pdf","400등급")</f>
        <v>400등급</v>
      </c>
      <c r="R592" s="5" t="s">
        <v>19</v>
      </c>
      <c r="S592" s="5" t="s">
        <v>19</v>
      </c>
      <c r="T592" s="5" t="s">
        <v>19</v>
      </c>
      <c r="U592" s="5" t="s">
        <v>19</v>
      </c>
      <c r="V592" s="5" t="s">
        <v>19</v>
      </c>
      <c r="W592" s="5" t="s">
        <v>152</v>
      </c>
      <c r="X592"/>
    </row>
    <row r="593" spans="1:24">
      <c r="A593" t="s">
        <v>125</v>
      </c>
      <c r="B593" t="s">
        <v>19</v>
      </c>
      <c r="C593" t="s">
        <v>31</v>
      </c>
      <c r="D593" t="s">
        <v>28</v>
      </c>
      <c r="E593" t="s">
        <v>19</v>
      </c>
      <c r="F593" t="s">
        <v>19</v>
      </c>
      <c r="G593" t="s">
        <v>19</v>
      </c>
      <c r="H593" t="s">
        <v>19</v>
      </c>
      <c r="I593" t="s">
        <v>19</v>
      </c>
      <c r="J593" t="s">
        <v>74</v>
      </c>
      <c r="K593" s="21" t="s">
        <v>607</v>
      </c>
      <c r="L593" s="5" t="s">
        <v>19</v>
      </c>
      <c r="M593" s="5" t="s">
        <v>19</v>
      </c>
      <c r="N593" s="5" t="s">
        <v>19</v>
      </c>
      <c r="O593" s="5" t="str">
        <f>HYPERLINK("http://www.lghausys.co.kr/popup/rn/download/downloadPopup.jsp?from=plwindow&amp;uu=/upload/window/REPORT/LGH-WA17-160.pdf","2등급")</f>
        <v>2등급</v>
      </c>
      <c r="P593" s="5" t="str">
        <f>HYPERLINK("http://www.lghausys.co.kr/popup/rn/download/downloadPopup.jsp?from=plwindow&amp;uu=/upload/window/REPORT/LGH-WA17-160.pdf","15등급")</f>
        <v>15등급</v>
      </c>
      <c r="Q593" s="5" t="str">
        <f>HYPERLINK("http://www.lghausys.co.kr/popup/rn/download/downloadPopup.jsp?from=plwindow&amp;uu=/upload/window/REPORT/LGH-WA17-160.pdf","240등급")</f>
        <v>240등급</v>
      </c>
      <c r="R593" s="5" t="s">
        <v>19</v>
      </c>
      <c r="S593" s="5" t="s">
        <v>19</v>
      </c>
      <c r="T593" s="5" t="s">
        <v>19</v>
      </c>
      <c r="U593" s="5" t="s">
        <v>19</v>
      </c>
      <c r="V593" s="5" t="s">
        <v>19</v>
      </c>
      <c r="W593" s="5" t="s">
        <v>152</v>
      </c>
      <c r="X593"/>
    </row>
    <row r="594" spans="1:24">
      <c r="A594" t="s">
        <v>52</v>
      </c>
      <c r="B594" t="s">
        <v>19</v>
      </c>
      <c r="C594" t="s">
        <v>34</v>
      </c>
      <c r="D594" t="s">
        <v>25</v>
      </c>
      <c r="E594" t="s">
        <v>19</v>
      </c>
      <c r="F594" t="s">
        <v>19</v>
      </c>
      <c r="G594" t="s">
        <v>19</v>
      </c>
      <c r="H594" t="s">
        <v>188</v>
      </c>
      <c r="I594" t="s">
        <v>19</v>
      </c>
      <c r="J594" t="s">
        <v>74</v>
      </c>
      <c r="K594" s="21" t="s">
        <v>607</v>
      </c>
      <c r="L594" s="5" t="s">
        <v>19</v>
      </c>
      <c r="M594" s="5" t="s">
        <v>19</v>
      </c>
      <c r="N594" s="5" t="str">
        <f>HYPERLINK("http://www.lghausys.co.kr/popup/rn/download/downloadPopup.jsp?from=plwindow&amp;uu=/upload/window/REPORT/LGH-TA17-155.pdf","0.9724")</f>
        <v>0.9724</v>
      </c>
      <c r="O594" s="5" t="s">
        <v>19</v>
      </c>
      <c r="P594" s="5" t="s">
        <v>19</v>
      </c>
      <c r="Q594" s="5" t="s">
        <v>19</v>
      </c>
      <c r="R594" s="5" t="s">
        <v>19</v>
      </c>
      <c r="S594" s="5" t="s">
        <v>19</v>
      </c>
      <c r="T594" s="5" t="s">
        <v>19</v>
      </c>
      <c r="U594" s="5" t="s">
        <v>19</v>
      </c>
      <c r="V594" s="5" t="s">
        <v>19</v>
      </c>
      <c r="W594" s="5" t="s">
        <v>75</v>
      </c>
      <c r="X594"/>
    </row>
    <row r="595" spans="1:24">
      <c r="A595" t="s">
        <v>73</v>
      </c>
      <c r="B595" t="s">
        <v>73</v>
      </c>
      <c r="C595" t="s">
        <v>263</v>
      </c>
      <c r="D595" t="s">
        <v>19</v>
      </c>
      <c r="E595" t="s">
        <v>19</v>
      </c>
      <c r="F595" t="s">
        <v>19</v>
      </c>
      <c r="G595" t="s">
        <v>19</v>
      </c>
      <c r="H595" t="s">
        <v>19</v>
      </c>
      <c r="I595" t="s">
        <v>19</v>
      </c>
      <c r="J595" t="s">
        <v>19</v>
      </c>
      <c r="K595" s="21" t="s">
        <v>607</v>
      </c>
      <c r="L595" s="5" t="s">
        <v>19</v>
      </c>
      <c r="M595" s="5" t="s">
        <v>19</v>
      </c>
      <c r="N595" s="5" t="s">
        <v>19</v>
      </c>
      <c r="O595" s="5" t="s">
        <v>19</v>
      </c>
      <c r="P595" s="5" t="s">
        <v>19</v>
      </c>
      <c r="Q595" s="5" t="s">
        <v>19</v>
      </c>
      <c r="R595" s="5" t="s">
        <v>19</v>
      </c>
      <c r="S595" s="5" t="s">
        <v>19</v>
      </c>
      <c r="T595" s="5" t="s">
        <v>19</v>
      </c>
      <c r="U595" s="5" t="s">
        <v>19</v>
      </c>
      <c r="V595" s="5" t="str">
        <f>HYPERLINK("http://www.lghausys.co.kr/popup/rn/download/downloadPopup.jsp?from=plwindow&amp;uu=/upload/window/REPORT/CT17-070920.pdf","PASS")</f>
        <v>PASS</v>
      </c>
      <c r="W595" s="5" t="s">
        <v>19</v>
      </c>
      <c r="X595"/>
    </row>
    <row r="596" spans="1:24">
      <c r="A596" t="s">
        <v>44</v>
      </c>
      <c r="B596" t="s">
        <v>19</v>
      </c>
      <c r="C596" t="s">
        <v>20</v>
      </c>
      <c r="D596" t="s">
        <v>192</v>
      </c>
      <c r="E596" t="s">
        <v>19</v>
      </c>
      <c r="F596" t="s">
        <v>19</v>
      </c>
      <c r="G596" t="s">
        <v>19</v>
      </c>
      <c r="H596" t="s">
        <v>19</v>
      </c>
      <c r="I596" t="s">
        <v>19</v>
      </c>
      <c r="J596" t="s">
        <v>99</v>
      </c>
      <c r="K596" s="21" t="str">
        <f>IF(X596&lt;=0.9,HYPERLINK("http://www.lxhausys.co.kr/popup/rn/download/downloadPopup.jsp?from=plwindow&amp;uu=/upload/window/REPORT/LGH-TW17-091.pdf","1등급"),IF(X596&lt;=1.2,HYPERLINK("http://www.lxhausys.co.kr/popup/rn/download/downloadPopup.jsp?from=plwindow&amp;uu=/upload/window/REPORT/LGH-TW17-091.pdf","2등급"),IF(X596&lt;=1.8,HYPERLINK("http://www.lxhausys.co.kr/popup/rn/download/downloadPopup.jsp?from=plwindow&amp;uu=/upload/window/REPORT/LGH-TW17-091.pdf","3등급"),IF(X596&lt;=2.3,HYPERLINK("http://www.lxhausys.co.kr/popup/rn/download/downloadPopup.jsp?from=plwindow&amp;uu=/upload/window/REPORT/LGH-TW17-091.pdf","4등급"),IF(X596&lt;=2.8,HYPERLINK("http://www.lxhausys.co.kr/popup/rn/download/downloadPopup.jsp?from=plwindow&amp;uu=/upload/window/REPORT/LGH-TW17-091.pdf","5등급"),HYPERLINK("http://www.lxhausys.co.kr/popup/rn/download/downloadPopup.jsp?from=plwindow&amp;uu=/upload/window/REPORT/LGH-TW17-091.pdf","등급외"))))))</f>
        <v>3등급</v>
      </c>
      <c r="L596" s="5">
        <v>1.3308</v>
      </c>
      <c r="M596" s="5" t="s">
        <v>22</v>
      </c>
      <c r="N596" s="5" t="s">
        <v>607</v>
      </c>
      <c r="O596" s="5" t="s">
        <v>19</v>
      </c>
      <c r="P596" s="5" t="s">
        <v>19</v>
      </c>
      <c r="Q596" s="5" t="s">
        <v>19</v>
      </c>
      <c r="R596" s="5" t="s">
        <v>19</v>
      </c>
      <c r="S596" s="5" t="s">
        <v>19</v>
      </c>
      <c r="T596" s="5" t="s">
        <v>19</v>
      </c>
      <c r="U596" s="5" t="s">
        <v>19</v>
      </c>
      <c r="V596" s="5" t="s">
        <v>19</v>
      </c>
      <c r="W596" s="5" t="s">
        <v>19</v>
      </c>
      <c r="X596" s="19">
        <f>L596</f>
        <v>1.3308</v>
      </c>
    </row>
    <row r="597" spans="1:24">
      <c r="A597" t="s">
        <v>19</v>
      </c>
      <c r="B597" t="s">
        <v>49</v>
      </c>
      <c r="C597" t="s">
        <v>34</v>
      </c>
      <c r="D597" t="s">
        <v>28</v>
      </c>
      <c r="E597" t="s">
        <v>19</v>
      </c>
      <c r="F597" t="s">
        <v>19</v>
      </c>
      <c r="G597" t="s">
        <v>19</v>
      </c>
      <c r="H597" t="s">
        <v>19</v>
      </c>
      <c r="I597" t="s">
        <v>19</v>
      </c>
      <c r="J597" t="s">
        <v>74</v>
      </c>
      <c r="K597" s="21" t="s">
        <v>607</v>
      </c>
      <c r="L597" s="5" t="s">
        <v>19</v>
      </c>
      <c r="M597" s="5" t="s">
        <v>19</v>
      </c>
      <c r="N597" s="5" t="str">
        <f>HYPERLINK("http://www.lghausys.co.kr/popup/rn/download/downloadPopup.jsp?from=plwindow&amp;uu=/upload/window/REPORT/LGH-TA17-226.pdf","2.2022")</f>
        <v>2.2022</v>
      </c>
      <c r="O597" s="5" t="s">
        <v>19</v>
      </c>
      <c r="P597" s="5" t="s">
        <v>19</v>
      </c>
      <c r="Q597" s="5" t="s">
        <v>19</v>
      </c>
      <c r="R597" s="5" t="s">
        <v>19</v>
      </c>
      <c r="S597" s="5" t="s">
        <v>19</v>
      </c>
      <c r="T597" s="5" t="s">
        <v>19</v>
      </c>
      <c r="U597" s="5" t="s">
        <v>19</v>
      </c>
      <c r="V597" s="5" t="s">
        <v>19</v>
      </c>
      <c r="W597" s="5" t="s">
        <v>75</v>
      </c>
      <c r="X597"/>
    </row>
    <row r="598" spans="1:24">
      <c r="A598" t="s">
        <v>69</v>
      </c>
      <c r="B598" t="s">
        <v>19</v>
      </c>
      <c r="C598" t="s">
        <v>34</v>
      </c>
      <c r="D598" t="s">
        <v>45</v>
      </c>
      <c r="E598" t="s">
        <v>19</v>
      </c>
      <c r="F598" t="s">
        <v>19</v>
      </c>
      <c r="G598" t="s">
        <v>19</v>
      </c>
      <c r="H598" t="s">
        <v>19</v>
      </c>
      <c r="I598" t="s">
        <v>19</v>
      </c>
      <c r="J598" t="s">
        <v>74</v>
      </c>
      <c r="K598" s="21" t="s">
        <v>607</v>
      </c>
      <c r="L598" s="5" t="s">
        <v>19</v>
      </c>
      <c r="M598" s="5" t="s">
        <v>19</v>
      </c>
      <c r="N598" s="5" t="str">
        <f>HYPERLINK("http://www.lghausys.co.kr/popup/rn/download/downloadPopup.jsp?from=plwindow&amp;uu=/upload/window/REPORT/LGH-TA17-227.pdf","1.2109")</f>
        <v>1.2109</v>
      </c>
      <c r="O598" s="5" t="s">
        <v>19</v>
      </c>
      <c r="P598" s="5" t="s">
        <v>19</v>
      </c>
      <c r="Q598" s="5" t="s">
        <v>19</v>
      </c>
      <c r="R598" s="5" t="s">
        <v>19</v>
      </c>
      <c r="S598" s="5" t="s">
        <v>19</v>
      </c>
      <c r="T598" s="5" t="s">
        <v>19</v>
      </c>
      <c r="U598" s="5" t="s">
        <v>19</v>
      </c>
      <c r="V598" s="5" t="s">
        <v>19</v>
      </c>
      <c r="W598" s="5" t="s">
        <v>75</v>
      </c>
      <c r="X598"/>
    </row>
    <row r="599" spans="1:24">
      <c r="A599" t="s">
        <v>19</v>
      </c>
      <c r="B599" t="s">
        <v>83</v>
      </c>
      <c r="C599" t="s">
        <v>31</v>
      </c>
      <c r="D599" t="s">
        <v>28</v>
      </c>
      <c r="E599" t="s">
        <v>19</v>
      </c>
      <c r="F599" t="s">
        <v>19</v>
      </c>
      <c r="G599" t="s">
        <v>19</v>
      </c>
      <c r="H599" t="s">
        <v>19</v>
      </c>
      <c r="I599" t="s">
        <v>19</v>
      </c>
      <c r="J599" t="s">
        <v>74</v>
      </c>
      <c r="K599" s="21" t="s">
        <v>607</v>
      </c>
      <c r="L599" s="5" t="s">
        <v>19</v>
      </c>
      <c r="M599" s="5" t="s">
        <v>19</v>
      </c>
      <c r="N599" s="5" t="s">
        <v>19</v>
      </c>
      <c r="O599" s="5" t="str">
        <f>HYPERLINK("http://www.lghausys.co.kr/popup/rn/download/downloadPopup.jsp?from=plwindow&amp;uu=/upload/window/REPORT/LGH-WA17-221.pdf","2등급")</f>
        <v>2등급</v>
      </c>
      <c r="P599" s="5" t="s">
        <v>19</v>
      </c>
      <c r="Q599" s="5" t="s">
        <v>19</v>
      </c>
      <c r="R599" s="5" t="s">
        <v>19</v>
      </c>
      <c r="S599" s="5" t="s">
        <v>19</v>
      </c>
      <c r="T599" s="5" t="s">
        <v>19</v>
      </c>
      <c r="U599" s="5" t="s">
        <v>19</v>
      </c>
      <c r="V599" s="5" t="s">
        <v>19</v>
      </c>
      <c r="W599" s="5" t="s">
        <v>152</v>
      </c>
      <c r="X599"/>
    </row>
    <row r="600" spans="1:24">
      <c r="A600" t="s">
        <v>42</v>
      </c>
      <c r="B600" t="s">
        <v>43</v>
      </c>
      <c r="C600" t="s">
        <v>31</v>
      </c>
      <c r="D600" t="s">
        <v>28</v>
      </c>
      <c r="E600" t="s">
        <v>19</v>
      </c>
      <c r="F600" t="s">
        <v>19</v>
      </c>
      <c r="G600" t="s">
        <v>19</v>
      </c>
      <c r="H600" t="s">
        <v>19</v>
      </c>
      <c r="I600" t="s">
        <v>19</v>
      </c>
      <c r="J600" t="s">
        <v>74</v>
      </c>
      <c r="K600" s="21" t="s">
        <v>607</v>
      </c>
      <c r="L600" s="5" t="s">
        <v>19</v>
      </c>
      <c r="M600" s="5" t="s">
        <v>19</v>
      </c>
      <c r="N600" s="5" t="s">
        <v>19</v>
      </c>
      <c r="O600" s="5" t="str">
        <f>HYPERLINK("http://www.lghausys.co.kr/popup/rn/download/downloadPopup.jsp?from=plwindow&amp;uu=/upload/window/REPORT/LGH-WA17-222.pdf","1등급")</f>
        <v>1등급</v>
      </c>
      <c r="P600" s="5" t="s">
        <v>19</v>
      </c>
      <c r="Q600" s="5" t="s">
        <v>19</v>
      </c>
      <c r="R600" s="5" t="s">
        <v>19</v>
      </c>
      <c r="S600" s="5" t="s">
        <v>19</v>
      </c>
      <c r="T600" s="5" t="s">
        <v>19</v>
      </c>
      <c r="U600" s="5" t="s">
        <v>19</v>
      </c>
      <c r="V600" s="5" t="s">
        <v>19</v>
      </c>
      <c r="W600" s="5" t="s">
        <v>152</v>
      </c>
      <c r="X600"/>
    </row>
    <row r="601" spans="1:24">
      <c r="A601" t="s">
        <v>19</v>
      </c>
      <c r="B601" t="s">
        <v>83</v>
      </c>
      <c r="C601" t="s">
        <v>31</v>
      </c>
      <c r="D601" t="s">
        <v>21</v>
      </c>
      <c r="E601" t="s">
        <v>19</v>
      </c>
      <c r="F601" t="s">
        <v>19</v>
      </c>
      <c r="G601" t="s">
        <v>19</v>
      </c>
      <c r="H601" t="s">
        <v>19</v>
      </c>
      <c r="I601" t="s">
        <v>19</v>
      </c>
      <c r="J601" t="s">
        <v>97</v>
      </c>
      <c r="K601" s="21" t="s">
        <v>607</v>
      </c>
      <c r="L601" s="5" t="s">
        <v>19</v>
      </c>
      <c r="M601" s="5" t="s">
        <v>19</v>
      </c>
      <c r="N601" s="5" t="s">
        <v>19</v>
      </c>
      <c r="O601" s="5" t="str">
        <f>HYPERLINK("http://www.lghausys.co.kr/popup/rn/download/downloadPopup.jsp?from=plwindow&amp;uu=/upload/window/REPORT/LGH-WA17-223.pdf","2등급")</f>
        <v>2등급</v>
      </c>
      <c r="P601" s="5" t="s">
        <v>19</v>
      </c>
      <c r="Q601" s="5" t="s">
        <v>19</v>
      </c>
      <c r="R601" s="5" t="s">
        <v>19</v>
      </c>
      <c r="S601" s="5" t="s">
        <v>19</v>
      </c>
      <c r="T601" s="5" t="s">
        <v>19</v>
      </c>
      <c r="U601" s="5" t="s">
        <v>19</v>
      </c>
      <c r="V601" s="5" t="s">
        <v>19</v>
      </c>
      <c r="W601" s="5" t="s">
        <v>152</v>
      </c>
      <c r="X601"/>
    </row>
    <row r="602" spans="1:24">
      <c r="A602" t="s">
        <v>52</v>
      </c>
      <c r="B602" t="s">
        <v>19</v>
      </c>
      <c r="C602" t="s">
        <v>31</v>
      </c>
      <c r="D602" t="s">
        <v>25</v>
      </c>
      <c r="E602" t="s">
        <v>19</v>
      </c>
      <c r="F602" t="s">
        <v>19</v>
      </c>
      <c r="G602" t="s">
        <v>19</v>
      </c>
      <c r="H602" t="s">
        <v>28</v>
      </c>
      <c r="I602" t="s">
        <v>19</v>
      </c>
      <c r="J602" t="s">
        <v>145</v>
      </c>
      <c r="K602" s="21" t="s">
        <v>607</v>
      </c>
      <c r="L602" s="5" t="s">
        <v>19</v>
      </c>
      <c r="M602" s="5" t="s">
        <v>19</v>
      </c>
      <c r="N602" s="5" t="s">
        <v>19</v>
      </c>
      <c r="O602" s="5" t="str">
        <f>HYPERLINK("http://www.lghausys.co.kr/popup/rn/download/downloadPopup.jsp?from=plwindow&amp;uu=/upload/window/REPORT/LGH-WA17-224.pdf","1등급")</f>
        <v>1등급</v>
      </c>
      <c r="P602" s="5" t="str">
        <f>HYPERLINK("http://www.lghausys.co.kr/popup/rn/download/downloadPopup.jsp?from=plwindow&amp;uu=/upload/window/REPORT/LGH-WA17-224.pdf","50등급")</f>
        <v>50등급</v>
      </c>
      <c r="Q602" s="5" t="str">
        <f>HYPERLINK("http://www.lghausys.co.kr/popup/rn/download/downloadPopup.jsp?from=plwindow&amp;uu=/upload/window/REPORT/LGH-WA17-224.pdf","400등급")</f>
        <v>400등급</v>
      </c>
      <c r="R602" s="5" t="s">
        <v>19</v>
      </c>
      <c r="S602" s="5" t="s">
        <v>19</v>
      </c>
      <c r="T602" s="5" t="s">
        <v>19</v>
      </c>
      <c r="U602" s="5" t="s">
        <v>19</v>
      </c>
      <c r="V602" s="5" t="s">
        <v>19</v>
      </c>
      <c r="W602" s="5" t="s">
        <v>152</v>
      </c>
      <c r="X602"/>
    </row>
    <row r="603" spans="1:24">
      <c r="A603" t="s">
        <v>125</v>
      </c>
      <c r="B603" t="s">
        <v>19</v>
      </c>
      <c r="C603" t="s">
        <v>31</v>
      </c>
      <c r="D603" t="s">
        <v>25</v>
      </c>
      <c r="E603" t="s">
        <v>19</v>
      </c>
      <c r="F603" t="s">
        <v>19</v>
      </c>
      <c r="G603" t="s">
        <v>19</v>
      </c>
      <c r="H603" t="s">
        <v>19</v>
      </c>
      <c r="I603" t="s">
        <v>19</v>
      </c>
      <c r="J603" t="s">
        <v>145</v>
      </c>
      <c r="K603" s="21" t="s">
        <v>607</v>
      </c>
      <c r="L603" s="5" t="s">
        <v>19</v>
      </c>
      <c r="M603" s="5" t="s">
        <v>19</v>
      </c>
      <c r="N603" s="5" t="s">
        <v>19</v>
      </c>
      <c r="O603" s="5" t="str">
        <f>HYPERLINK("http://www.lghausys.co.kr/popup/rn/download/downloadPopup.jsp?from=plwindow&amp;uu=/upload/window/REPORT/LGH-WA17-225.pdf","2등급")</f>
        <v>2등급</v>
      </c>
      <c r="P603" s="5" t="str">
        <f>HYPERLINK("http://www.lghausys.co.kr/popup/rn/download/downloadPopup.jsp?from=plwindow&amp;uu=/upload/window/REPORT/LGH-WA17-225.pdf","15등급")</f>
        <v>15등급</v>
      </c>
      <c r="Q603" s="5" t="str">
        <f>HYPERLINK("http://www.lghausys.co.kr/popup/rn/download/downloadPopup.jsp?from=plwindow&amp;uu=/upload/window/REPORT/LGH-WA17-225.pdf","240등급")</f>
        <v>240등급</v>
      </c>
      <c r="R603" s="5" t="s">
        <v>19</v>
      </c>
      <c r="S603" s="5" t="s">
        <v>19</v>
      </c>
      <c r="T603" s="5" t="s">
        <v>19</v>
      </c>
      <c r="U603" s="5" t="s">
        <v>19</v>
      </c>
      <c r="V603" s="5" t="s">
        <v>19</v>
      </c>
      <c r="W603" s="5" t="s">
        <v>152</v>
      </c>
      <c r="X603"/>
    </row>
    <row r="604" spans="1:24">
      <c r="A604" t="s">
        <v>125</v>
      </c>
      <c r="B604" t="s">
        <v>19</v>
      </c>
      <c r="C604" t="s">
        <v>31</v>
      </c>
      <c r="D604" t="s">
        <v>25</v>
      </c>
      <c r="E604" t="s">
        <v>19</v>
      </c>
      <c r="F604" t="s">
        <v>19</v>
      </c>
      <c r="G604" t="s">
        <v>19</v>
      </c>
      <c r="H604" t="s">
        <v>19</v>
      </c>
      <c r="I604" t="s">
        <v>19</v>
      </c>
      <c r="J604" t="s">
        <v>99</v>
      </c>
      <c r="K604" s="21" t="s">
        <v>607</v>
      </c>
      <c r="L604" s="5" t="s">
        <v>19</v>
      </c>
      <c r="M604" s="5" t="s">
        <v>19</v>
      </c>
      <c r="N604" s="5" t="s">
        <v>19</v>
      </c>
      <c r="O604" s="5" t="str">
        <f>HYPERLINK("http://www.lghausys.co.kr/popup/rn/download/downloadPopup.jsp?from=plwindow&amp;uu=/upload/window/REPORT/LGH-WA17-226.pdf","2등급")</f>
        <v>2등급</v>
      </c>
      <c r="P604" s="5" t="s">
        <v>19</v>
      </c>
      <c r="Q604" s="5" t="s">
        <v>19</v>
      </c>
      <c r="R604" s="5" t="s">
        <v>19</v>
      </c>
      <c r="S604" s="5" t="s">
        <v>19</v>
      </c>
      <c r="T604" s="5" t="s">
        <v>19</v>
      </c>
      <c r="U604" s="5" t="s">
        <v>19</v>
      </c>
      <c r="V604" s="5" t="s">
        <v>19</v>
      </c>
      <c r="W604" s="5" t="s">
        <v>152</v>
      </c>
      <c r="X604"/>
    </row>
    <row r="605" spans="1:24">
      <c r="A605" t="s">
        <v>52</v>
      </c>
      <c r="B605" t="s">
        <v>19</v>
      </c>
      <c r="C605" t="s">
        <v>31</v>
      </c>
      <c r="D605" t="s">
        <v>25</v>
      </c>
      <c r="E605" t="s">
        <v>19</v>
      </c>
      <c r="F605" t="s">
        <v>19</v>
      </c>
      <c r="G605" t="s">
        <v>19</v>
      </c>
      <c r="H605" t="s">
        <v>28</v>
      </c>
      <c r="I605" t="s">
        <v>19</v>
      </c>
      <c r="J605" t="s">
        <v>99</v>
      </c>
      <c r="K605" s="21" t="s">
        <v>607</v>
      </c>
      <c r="L605" s="5" t="s">
        <v>19</v>
      </c>
      <c r="M605" s="5" t="s">
        <v>19</v>
      </c>
      <c r="N605" s="5" t="s">
        <v>19</v>
      </c>
      <c r="O605" s="5" t="str">
        <f>HYPERLINK("http://www.lghausys.co.kr/popup/rn/download/downloadPopup.jsp?from=plwindow&amp;uu=/upload/window/REPORT/LGH-WA17-227.pdf","1등급")</f>
        <v>1등급</v>
      </c>
      <c r="P605" s="5" t="s">
        <v>19</v>
      </c>
      <c r="Q605" s="5" t="s">
        <v>19</v>
      </c>
      <c r="R605" s="5" t="s">
        <v>19</v>
      </c>
      <c r="S605" s="5" t="s">
        <v>19</v>
      </c>
      <c r="T605" s="5" t="s">
        <v>19</v>
      </c>
      <c r="U605" s="5" t="s">
        <v>19</v>
      </c>
      <c r="V605" s="5" t="s">
        <v>19</v>
      </c>
      <c r="W605" s="5" t="s">
        <v>152</v>
      </c>
      <c r="X605"/>
    </row>
    <row r="606" spans="1:24">
      <c r="A606" t="s">
        <v>57</v>
      </c>
      <c r="B606" t="s">
        <v>58</v>
      </c>
      <c r="C606" t="s">
        <v>31</v>
      </c>
      <c r="D606" t="s">
        <v>25</v>
      </c>
      <c r="E606" t="s">
        <v>19</v>
      </c>
      <c r="F606" t="s">
        <v>19</v>
      </c>
      <c r="G606" t="s">
        <v>19</v>
      </c>
      <c r="H606" t="s">
        <v>19</v>
      </c>
      <c r="I606" t="s">
        <v>19</v>
      </c>
      <c r="J606" t="s">
        <v>145</v>
      </c>
      <c r="K606" s="21" t="s">
        <v>607</v>
      </c>
      <c r="L606" s="5" t="s">
        <v>19</v>
      </c>
      <c r="M606" s="5" t="s">
        <v>19</v>
      </c>
      <c r="N606" s="5" t="s">
        <v>19</v>
      </c>
      <c r="O606" s="5" t="str">
        <f>HYPERLINK("http://www.lghausys.co.kr/popup/rn/download/downloadPopup.jsp?from=plwindow&amp;uu=/upload/window/REPORT/LGH-WA17-230.pdf","1등급")</f>
        <v>1등급</v>
      </c>
      <c r="P606" s="5" t="str">
        <f>HYPERLINK("http://www.lghausys.co.kr/popup/rn/download/downloadPopup.jsp?from=plwindow&amp;uu=/upload/window/REPORT/LGH-WA17-230.pdf","50등급")</f>
        <v>50등급</v>
      </c>
      <c r="Q606" s="5" t="str">
        <f>HYPERLINK("http://www.lghausys.co.kr/popup/rn/download/downloadPopup.jsp?from=plwindow&amp;uu=/upload/window/REPORT/LGH-WA17-230.pdf","130등급")</f>
        <v>130등급</v>
      </c>
      <c r="R606" s="5" t="s">
        <v>19</v>
      </c>
      <c r="S606" s="5" t="s">
        <v>19</v>
      </c>
      <c r="T606" s="5" t="s">
        <v>19</v>
      </c>
      <c r="U606" s="5" t="s">
        <v>19</v>
      </c>
      <c r="V606" s="5" t="s">
        <v>19</v>
      </c>
      <c r="W606" s="5" t="s">
        <v>152</v>
      </c>
      <c r="X606"/>
    </row>
    <row r="607" spans="1:24">
      <c r="A607" t="s">
        <v>73</v>
      </c>
      <c r="B607" t="s">
        <v>19</v>
      </c>
      <c r="C607" t="s">
        <v>31</v>
      </c>
      <c r="D607" t="s">
        <v>53</v>
      </c>
      <c r="E607" t="s">
        <v>19</v>
      </c>
      <c r="F607" t="s">
        <v>19</v>
      </c>
      <c r="G607" t="s">
        <v>19</v>
      </c>
      <c r="H607" t="s">
        <v>53</v>
      </c>
      <c r="I607" t="s">
        <v>19</v>
      </c>
      <c r="J607" t="s">
        <v>97</v>
      </c>
      <c r="K607" s="21" t="s">
        <v>607</v>
      </c>
      <c r="L607" s="5" t="s">
        <v>19</v>
      </c>
      <c r="M607" s="5" t="s">
        <v>19</v>
      </c>
      <c r="N607" s="5" t="s">
        <v>19</v>
      </c>
      <c r="O607" s="5" t="str">
        <f>HYPERLINK("http://www.lghausys.co.kr/popup/rn/download/downloadPopup.jsp?from=plwindow&amp;uu=/upload/window/REPORT/LGH-WA17-232.pdf","1등급")</f>
        <v>1등급</v>
      </c>
      <c r="P607" s="5" t="s">
        <v>19</v>
      </c>
      <c r="Q607" s="5" t="str">
        <f>HYPERLINK("http://www.lghausys.co.kr/popup/rn/download/downloadPopup.jsp?from=plwindow&amp;uu=/upload/window/REPORT/LGH-WA17-232.pdf","400등급")</f>
        <v>400등급</v>
      </c>
      <c r="R607" s="5" t="s">
        <v>19</v>
      </c>
      <c r="S607" s="5" t="s">
        <v>19</v>
      </c>
      <c r="T607" s="5" t="s">
        <v>19</v>
      </c>
      <c r="U607" s="5" t="s">
        <v>19</v>
      </c>
      <c r="V607" s="5" t="s">
        <v>19</v>
      </c>
      <c r="W607" s="5" t="s">
        <v>152</v>
      </c>
      <c r="X607"/>
    </row>
    <row r="608" spans="1:24">
      <c r="A608" t="s">
        <v>19</v>
      </c>
      <c r="B608" t="s">
        <v>124</v>
      </c>
      <c r="C608" t="s">
        <v>31</v>
      </c>
      <c r="D608" t="s">
        <v>25</v>
      </c>
      <c r="E608" t="s">
        <v>19</v>
      </c>
      <c r="F608" t="s">
        <v>19</v>
      </c>
      <c r="G608" t="s">
        <v>19</v>
      </c>
      <c r="H608" t="s">
        <v>28</v>
      </c>
      <c r="I608" t="s">
        <v>19</v>
      </c>
      <c r="J608" t="s">
        <v>74</v>
      </c>
      <c r="K608" s="21" t="s">
        <v>607</v>
      </c>
      <c r="L608" s="5" t="s">
        <v>19</v>
      </c>
      <c r="M608" s="5" t="s">
        <v>19</v>
      </c>
      <c r="N608" s="5" t="s">
        <v>19</v>
      </c>
      <c r="O608" s="5" t="str">
        <f>HYPERLINK("http://www.lghausys.co.kr/popup/rn/download/downloadPopup.jsp?from=plwindow&amp;uu=/upload/window/REPORT/LGH-WA17-235.pdf","1등급")</f>
        <v>1등급</v>
      </c>
      <c r="P608" s="5" t="str">
        <f>HYPERLINK("http://www.lghausys.co.kr/popup/rn/download/downloadPopup.jsp?from=plwindow&amp;uu=/upload/window/REPORT/LGH-WA17-235.pdf","50등급")</f>
        <v>50등급</v>
      </c>
      <c r="Q608" s="5" t="str">
        <f>HYPERLINK("http://www.lghausys.co.kr/popup/rn/download/downloadPopup.jsp?from=plwindow&amp;uu=/upload/window/REPORT/LGH-WA17-235.pdf","360등급")</f>
        <v>360등급</v>
      </c>
      <c r="R608" s="5" t="s">
        <v>19</v>
      </c>
      <c r="S608" s="5" t="s">
        <v>19</v>
      </c>
      <c r="T608" s="5" t="s">
        <v>19</v>
      </c>
      <c r="U608" s="5" t="s">
        <v>19</v>
      </c>
      <c r="V608" s="5" t="s">
        <v>19</v>
      </c>
      <c r="W608" s="5" t="s">
        <v>152</v>
      </c>
      <c r="X608"/>
    </row>
    <row r="609" spans="1:24">
      <c r="A609" t="s">
        <v>19</v>
      </c>
      <c r="B609" t="s">
        <v>193</v>
      </c>
      <c r="C609" t="s">
        <v>31</v>
      </c>
      <c r="D609" t="s">
        <v>25</v>
      </c>
      <c r="E609" t="s">
        <v>19</v>
      </c>
      <c r="F609" t="s">
        <v>19</v>
      </c>
      <c r="G609" t="s">
        <v>19</v>
      </c>
      <c r="H609" t="s">
        <v>19</v>
      </c>
      <c r="I609" t="s">
        <v>19</v>
      </c>
      <c r="J609" t="s">
        <v>74</v>
      </c>
      <c r="K609" s="21" t="s">
        <v>607</v>
      </c>
      <c r="L609" s="5" t="s">
        <v>19</v>
      </c>
      <c r="M609" s="5" t="s">
        <v>19</v>
      </c>
      <c r="N609" s="5" t="s">
        <v>19</v>
      </c>
      <c r="O609" s="5" t="str">
        <f>HYPERLINK("http://www.lghausys.co.kr/popup/rn/download/downloadPopup.jsp?from=plwindow&amp;uu=/upload/window/REPORT/LGH-WA17-236.pdf","2등급")</f>
        <v>2등급</v>
      </c>
      <c r="P609" s="5" t="str">
        <f>HYPERLINK("http://www.lghausys.co.kr/popup/rn/download/downloadPopup.jsp?from=plwindow&amp;uu=/upload/window/REPORT/LGH-WA17-236.pdf","15등급")</f>
        <v>15등급</v>
      </c>
      <c r="Q609" s="5" t="str">
        <f>HYPERLINK("http://www.lghausys.co.kr/popup/rn/download/downloadPopup.jsp?from=plwindow&amp;uu=/upload/window/REPORT/LGH-WA17-236.pdf","240등급")</f>
        <v>240등급</v>
      </c>
      <c r="R609" s="5" t="s">
        <v>19</v>
      </c>
      <c r="S609" s="5" t="s">
        <v>19</v>
      </c>
      <c r="T609" s="5" t="s">
        <v>19</v>
      </c>
      <c r="U609" s="5" t="s">
        <v>19</v>
      </c>
      <c r="V609" s="5" t="s">
        <v>19</v>
      </c>
      <c r="W609" s="5" t="s">
        <v>152</v>
      </c>
      <c r="X609"/>
    </row>
    <row r="610" spans="1:24">
      <c r="A610" t="s">
        <v>19</v>
      </c>
      <c r="B610" t="s">
        <v>193</v>
      </c>
      <c r="C610" t="s">
        <v>31</v>
      </c>
      <c r="D610" t="s">
        <v>28</v>
      </c>
      <c r="E610" t="s">
        <v>19</v>
      </c>
      <c r="F610" t="s">
        <v>19</v>
      </c>
      <c r="G610" t="s">
        <v>19</v>
      </c>
      <c r="H610" t="s">
        <v>19</v>
      </c>
      <c r="I610" t="s">
        <v>19</v>
      </c>
      <c r="J610" t="s">
        <v>74</v>
      </c>
      <c r="K610" s="21" t="s">
        <v>607</v>
      </c>
      <c r="L610" s="5" t="s">
        <v>19</v>
      </c>
      <c r="M610" s="5" t="s">
        <v>19</v>
      </c>
      <c r="N610" s="5" t="s">
        <v>19</v>
      </c>
      <c r="O610" s="5" t="str">
        <f>HYPERLINK("http://www.lghausys.co.kr/popup/rn/download/downloadPopup.jsp?from=plwindow&amp;uu=/upload/window/REPORT/LGH-WA17-237.pdf","2등급")</f>
        <v>2등급</v>
      </c>
      <c r="P610" s="5" t="str">
        <f>HYPERLINK("http://www.lghausys.co.kr/popup/rn/download/downloadPopup.jsp?from=plwindow&amp;uu=/upload/window/REPORT/LGH-WA17-237.pdf","15등급")</f>
        <v>15등급</v>
      </c>
      <c r="Q610" s="5" t="str">
        <f>HYPERLINK("http://www.lghausys.co.kr/popup/rn/download/downloadPopup.jsp?from=plwindow&amp;uu=/upload/window/REPORT/LGH-WA17-237.pdf","240등급")</f>
        <v>240등급</v>
      </c>
      <c r="R610" s="5" t="s">
        <v>19</v>
      </c>
      <c r="S610" s="5" t="s">
        <v>19</v>
      </c>
      <c r="T610" s="5" t="s">
        <v>19</v>
      </c>
      <c r="U610" s="5" t="s">
        <v>19</v>
      </c>
      <c r="V610" s="5" t="s">
        <v>19</v>
      </c>
      <c r="W610" s="5" t="s">
        <v>152</v>
      </c>
      <c r="X610"/>
    </row>
    <row r="611" spans="1:24">
      <c r="A611" t="s">
        <v>19</v>
      </c>
      <c r="B611" t="s">
        <v>124</v>
      </c>
      <c r="C611" t="s">
        <v>34</v>
      </c>
      <c r="D611" t="s">
        <v>25</v>
      </c>
      <c r="E611" t="s">
        <v>19</v>
      </c>
      <c r="F611" t="s">
        <v>19</v>
      </c>
      <c r="G611" t="s">
        <v>19</v>
      </c>
      <c r="H611" t="s">
        <v>28</v>
      </c>
      <c r="I611" t="s">
        <v>19</v>
      </c>
      <c r="J611" t="s">
        <v>74</v>
      </c>
      <c r="K611" s="21" t="s">
        <v>607</v>
      </c>
      <c r="L611" s="5" t="s">
        <v>19</v>
      </c>
      <c r="M611" s="5" t="s">
        <v>19</v>
      </c>
      <c r="N611" s="5" t="str">
        <f>HYPERLINK("http://www.lghausys.co.kr/popup/rn/download/downloadPopup.jsp?from=plwindow&amp;uu=/upload/window/REPORT/LGH-TA17-231.pdf","1.0717")</f>
        <v>1.0717</v>
      </c>
      <c r="O611" s="5" t="s">
        <v>19</v>
      </c>
      <c r="P611" s="5" t="s">
        <v>19</v>
      </c>
      <c r="Q611" s="5" t="s">
        <v>19</v>
      </c>
      <c r="R611" s="5" t="s">
        <v>19</v>
      </c>
      <c r="S611" s="5" t="s">
        <v>19</v>
      </c>
      <c r="T611" s="5" t="s">
        <v>19</v>
      </c>
      <c r="U611" s="5" t="s">
        <v>19</v>
      </c>
      <c r="V611" s="5" t="s">
        <v>19</v>
      </c>
      <c r="W611" s="5" t="s">
        <v>75</v>
      </c>
      <c r="X611"/>
    </row>
    <row r="612" spans="1:24">
      <c r="A612" t="s">
        <v>135</v>
      </c>
      <c r="B612" t="s">
        <v>19</v>
      </c>
      <c r="C612" t="s">
        <v>31</v>
      </c>
      <c r="D612" t="s">
        <v>64</v>
      </c>
      <c r="E612" t="s">
        <v>194</v>
      </c>
      <c r="F612" t="s">
        <v>19</v>
      </c>
      <c r="G612" t="s">
        <v>19</v>
      </c>
      <c r="H612" t="s">
        <v>64</v>
      </c>
      <c r="I612" t="s">
        <v>19</v>
      </c>
      <c r="J612" t="s">
        <v>97</v>
      </c>
      <c r="K612" s="21" t="s">
        <v>607</v>
      </c>
      <c r="L612" s="5" t="s">
        <v>19</v>
      </c>
      <c r="M612" s="5" t="s">
        <v>19</v>
      </c>
      <c r="N612" s="5" t="s">
        <v>19</v>
      </c>
      <c r="O612" s="5" t="str">
        <f>HYPERLINK("http://www.lghausys.co.kr/popup/rn/download/downloadPopup.jsp?from=plwindow&amp;uu=/upload/window/REPORT/LGH-WA17-243.pdf","1등급")</f>
        <v>1등급</v>
      </c>
      <c r="P612" s="5" t="s">
        <v>19</v>
      </c>
      <c r="Q612" s="5" t="s">
        <v>19</v>
      </c>
      <c r="R612" s="5" t="s">
        <v>19</v>
      </c>
      <c r="S612" s="5" t="s">
        <v>19</v>
      </c>
      <c r="T612" s="5" t="s">
        <v>19</v>
      </c>
      <c r="U612" s="5" t="s">
        <v>19</v>
      </c>
      <c r="V612" s="5" t="s">
        <v>19</v>
      </c>
      <c r="W612" s="5" t="s">
        <v>152</v>
      </c>
      <c r="X612"/>
    </row>
    <row r="613" spans="1:24">
      <c r="A613" t="s">
        <v>61</v>
      </c>
      <c r="B613" t="s">
        <v>19</v>
      </c>
      <c r="C613" t="s">
        <v>31</v>
      </c>
      <c r="D613" t="s">
        <v>28</v>
      </c>
      <c r="E613" t="s">
        <v>19</v>
      </c>
      <c r="F613" t="s">
        <v>19</v>
      </c>
      <c r="G613" t="s">
        <v>19</v>
      </c>
      <c r="H613" t="s">
        <v>19</v>
      </c>
      <c r="I613" t="s">
        <v>19</v>
      </c>
      <c r="J613" t="s">
        <v>99</v>
      </c>
      <c r="K613" s="21" t="s">
        <v>607</v>
      </c>
      <c r="L613" s="5" t="s">
        <v>19</v>
      </c>
      <c r="M613" s="5" t="s">
        <v>19</v>
      </c>
      <c r="N613" s="5" t="s">
        <v>19</v>
      </c>
      <c r="O613" s="5" t="str">
        <f>HYPERLINK("http://www.lghausys.co.kr/popup/rn/download/downloadPopup.jsp?from=plwindow&amp;uu=/upload/window/REPORT/LGH-WA17-253.pdf","2등급")</f>
        <v>2등급</v>
      </c>
      <c r="P613" s="5" t="str">
        <f>HYPERLINK("http://www.lghausys.co.kr/popup/rn/download/downloadPopup.jsp?from=plwindow&amp;uu=/upload/window/REPORT/LGH-WA17-253.pdf","15등급")</f>
        <v>15등급</v>
      </c>
      <c r="Q613" s="5" t="str">
        <f>HYPERLINK("http://www.lghausys.co.kr/popup/rn/download/downloadPopup.jsp?from=plwindow&amp;uu=/upload/window/REPORT/LGH-WA17-253.pdf","240등급")</f>
        <v>240등급</v>
      </c>
      <c r="R613" s="5" t="s">
        <v>19</v>
      </c>
      <c r="S613" s="5" t="s">
        <v>19</v>
      </c>
      <c r="T613" s="5" t="s">
        <v>19</v>
      </c>
      <c r="U613" s="5" t="s">
        <v>19</v>
      </c>
      <c r="V613" s="5" t="s">
        <v>19</v>
      </c>
      <c r="W613" s="5" t="s">
        <v>152</v>
      </c>
      <c r="X613"/>
    </row>
    <row r="614" spans="1:24">
      <c r="A614" t="s">
        <v>73</v>
      </c>
      <c r="B614" t="s">
        <v>19</v>
      </c>
      <c r="C614" t="s">
        <v>31</v>
      </c>
      <c r="D614" t="s">
        <v>28</v>
      </c>
      <c r="E614" t="s">
        <v>19</v>
      </c>
      <c r="F614" t="s">
        <v>19</v>
      </c>
      <c r="G614" t="s">
        <v>19</v>
      </c>
      <c r="H614" t="s">
        <v>19</v>
      </c>
      <c r="I614" t="s">
        <v>19</v>
      </c>
      <c r="J614" t="s">
        <v>99</v>
      </c>
      <c r="K614" s="21" t="s">
        <v>607</v>
      </c>
      <c r="L614" s="5" t="s">
        <v>19</v>
      </c>
      <c r="M614" s="5" t="s">
        <v>19</v>
      </c>
      <c r="N614" s="5" t="s">
        <v>19</v>
      </c>
      <c r="O614" s="5" t="s">
        <v>19</v>
      </c>
      <c r="P614" s="5" t="str">
        <f>HYPERLINK("http://www.lghausys.co.kr/popup/rn/download/downloadPopup.jsp?from=plwindow&amp;uu=/upload/window/REPORT/LGH-WA17-254.pdf","50등급")</f>
        <v>50등급</v>
      </c>
      <c r="Q614" s="5" t="str">
        <f>HYPERLINK("http://www.lghausys.co.kr/popup/rn/download/downloadPopup.jsp?from=plwindow&amp;uu=/upload/window/REPORT/LGH-WA17-254.pdf","360등급")</f>
        <v>360등급</v>
      </c>
      <c r="R614" s="5" t="s">
        <v>19</v>
      </c>
      <c r="S614" s="5" t="s">
        <v>19</v>
      </c>
      <c r="T614" s="5" t="s">
        <v>19</v>
      </c>
      <c r="U614" s="5" t="s">
        <v>19</v>
      </c>
      <c r="V614" s="5" t="s">
        <v>19</v>
      </c>
      <c r="W614" s="5" t="s">
        <v>152</v>
      </c>
      <c r="X614"/>
    </row>
    <row r="615" spans="1:24">
      <c r="A615" t="s">
        <v>42</v>
      </c>
      <c r="B615" t="s">
        <v>43</v>
      </c>
      <c r="C615" t="s">
        <v>31</v>
      </c>
      <c r="D615" t="s">
        <v>195</v>
      </c>
      <c r="E615" t="s">
        <v>19</v>
      </c>
      <c r="F615" t="s">
        <v>19</v>
      </c>
      <c r="G615" t="s">
        <v>19</v>
      </c>
      <c r="H615" t="s">
        <v>19</v>
      </c>
      <c r="I615" t="s">
        <v>19</v>
      </c>
      <c r="J615" t="s">
        <v>196</v>
      </c>
      <c r="K615" s="21" t="s">
        <v>607</v>
      </c>
      <c r="L615" s="5" t="s">
        <v>19</v>
      </c>
      <c r="M615" s="5" t="s">
        <v>19</v>
      </c>
      <c r="N615" s="5" t="s">
        <v>19</v>
      </c>
      <c r="O615" s="5" t="str">
        <f>HYPERLINK("http://www.lghausys.co.kr/popup/rn/download/downloadPopup.jsp?from=plwindow&amp;uu=/upload/window/REPORT/LGH-WA17-255.pdf","1등급")</f>
        <v>1등급</v>
      </c>
      <c r="P615" s="5" t="s">
        <v>19</v>
      </c>
      <c r="Q615" s="5" t="s">
        <v>19</v>
      </c>
      <c r="R615" s="5" t="s">
        <v>19</v>
      </c>
      <c r="S615" s="5" t="s">
        <v>19</v>
      </c>
      <c r="T615" s="5" t="s">
        <v>19</v>
      </c>
      <c r="U615" s="5" t="s">
        <v>19</v>
      </c>
      <c r="V615" s="5" t="s">
        <v>19</v>
      </c>
      <c r="W615" s="5" t="s">
        <v>152</v>
      </c>
      <c r="X615"/>
    </row>
    <row r="616" spans="1:24">
      <c r="A616" t="s">
        <v>44</v>
      </c>
      <c r="B616" t="s">
        <v>19</v>
      </c>
      <c r="C616" t="s">
        <v>31</v>
      </c>
      <c r="D616" t="s">
        <v>141</v>
      </c>
      <c r="E616" t="s">
        <v>19</v>
      </c>
      <c r="F616" t="s">
        <v>19</v>
      </c>
      <c r="G616" t="s">
        <v>19</v>
      </c>
      <c r="H616" t="s">
        <v>19</v>
      </c>
      <c r="I616" t="s">
        <v>19</v>
      </c>
      <c r="J616" t="s">
        <v>74</v>
      </c>
      <c r="K616" s="21" t="s">
        <v>607</v>
      </c>
      <c r="L616" s="5" t="s">
        <v>19</v>
      </c>
      <c r="M616" s="5" t="s">
        <v>19</v>
      </c>
      <c r="N616" s="5" t="s">
        <v>19</v>
      </c>
      <c r="O616" s="5" t="str">
        <f>HYPERLINK("http://www.lghausys.co.kr/popup/rn/download/downloadPopup.jsp?from=plwindow&amp;uu=/upload/window/REPORT/LGH-WA17-256.pdf","1등급")</f>
        <v>1등급</v>
      </c>
      <c r="P616" s="5" t="s">
        <v>19</v>
      </c>
      <c r="Q616" s="5" t="s">
        <v>19</v>
      </c>
      <c r="R616" s="5" t="s">
        <v>19</v>
      </c>
      <c r="S616" s="5" t="s">
        <v>19</v>
      </c>
      <c r="T616" s="5" t="s">
        <v>19</v>
      </c>
      <c r="U616" s="5" t="s">
        <v>19</v>
      </c>
      <c r="V616" s="5" t="s">
        <v>19</v>
      </c>
      <c r="W616" s="5" t="s">
        <v>152</v>
      </c>
      <c r="X616"/>
    </row>
    <row r="617" spans="1:24">
      <c r="A617" t="s">
        <v>42</v>
      </c>
      <c r="B617" t="s">
        <v>43</v>
      </c>
      <c r="C617" t="s">
        <v>34</v>
      </c>
      <c r="D617" t="s">
        <v>53</v>
      </c>
      <c r="E617" t="s">
        <v>19</v>
      </c>
      <c r="F617" t="s">
        <v>19</v>
      </c>
      <c r="G617" t="s">
        <v>19</v>
      </c>
      <c r="H617" t="s">
        <v>19</v>
      </c>
      <c r="I617" t="s">
        <v>19</v>
      </c>
      <c r="J617" t="s">
        <v>74</v>
      </c>
      <c r="K617" s="21" t="s">
        <v>607</v>
      </c>
      <c r="L617" s="5" t="s">
        <v>19</v>
      </c>
      <c r="M617" s="5" t="s">
        <v>19</v>
      </c>
      <c r="N617" s="5" t="str">
        <f>HYPERLINK("http://www.lghausys.co.kr/popup/rn/download/downloadPopup.jsp?from=plwindow&amp;uu=/upload/window/REPORT/LGH-TA17-260.pdf","1.7042")</f>
        <v>1.7042</v>
      </c>
      <c r="O617" s="5" t="s">
        <v>19</v>
      </c>
      <c r="P617" s="5" t="s">
        <v>19</v>
      </c>
      <c r="Q617" s="5" t="s">
        <v>19</v>
      </c>
      <c r="R617" s="5" t="s">
        <v>19</v>
      </c>
      <c r="S617" s="5" t="s">
        <v>19</v>
      </c>
      <c r="T617" s="5" t="s">
        <v>19</v>
      </c>
      <c r="U617" s="5" t="s">
        <v>19</v>
      </c>
      <c r="V617" s="5" t="s">
        <v>19</v>
      </c>
      <c r="W617" s="5" t="s">
        <v>75</v>
      </c>
      <c r="X617"/>
    </row>
    <row r="618" spans="1:24">
      <c r="A618" t="s">
        <v>42</v>
      </c>
      <c r="B618" t="s">
        <v>43</v>
      </c>
      <c r="C618" t="s">
        <v>34</v>
      </c>
      <c r="D618" t="s">
        <v>21</v>
      </c>
      <c r="E618" t="s">
        <v>19</v>
      </c>
      <c r="F618" t="s">
        <v>19</v>
      </c>
      <c r="G618" t="s">
        <v>19</v>
      </c>
      <c r="H618" t="s">
        <v>19</v>
      </c>
      <c r="I618" t="s">
        <v>19</v>
      </c>
      <c r="J618" t="s">
        <v>74</v>
      </c>
      <c r="K618" s="21" t="s">
        <v>607</v>
      </c>
      <c r="L618" s="5" t="s">
        <v>19</v>
      </c>
      <c r="M618" s="5" t="s">
        <v>19</v>
      </c>
      <c r="N618" s="5" t="str">
        <f>HYPERLINK("http://www.lghausys.co.kr/popup/rn/download/downloadPopup.jsp?from=plwindow&amp;uu=/upload/window/REPORT/LGH-TA17-261.pdf","1.8339")</f>
        <v>1.8339</v>
      </c>
      <c r="O618" s="5" t="s">
        <v>19</v>
      </c>
      <c r="P618" s="5" t="s">
        <v>19</v>
      </c>
      <c r="Q618" s="5" t="s">
        <v>19</v>
      </c>
      <c r="R618" s="5" t="s">
        <v>19</v>
      </c>
      <c r="S618" s="5" t="s">
        <v>19</v>
      </c>
      <c r="T618" s="5" t="s">
        <v>19</v>
      </c>
      <c r="U618" s="5" t="s">
        <v>19</v>
      </c>
      <c r="V618" s="5" t="s">
        <v>19</v>
      </c>
      <c r="W618" s="5" t="s">
        <v>75</v>
      </c>
      <c r="X618"/>
    </row>
    <row r="619" spans="1:24">
      <c r="A619" t="s">
        <v>42</v>
      </c>
      <c r="B619" t="s">
        <v>43</v>
      </c>
      <c r="C619" t="s">
        <v>34</v>
      </c>
      <c r="D619" t="s">
        <v>28</v>
      </c>
      <c r="E619" t="s">
        <v>19</v>
      </c>
      <c r="F619" t="s">
        <v>19</v>
      </c>
      <c r="G619" t="s">
        <v>19</v>
      </c>
      <c r="H619" t="s">
        <v>19</v>
      </c>
      <c r="I619" t="s">
        <v>19</v>
      </c>
      <c r="J619" t="s">
        <v>74</v>
      </c>
      <c r="K619" s="21" t="s">
        <v>607</v>
      </c>
      <c r="L619" s="5" t="s">
        <v>19</v>
      </c>
      <c r="M619" s="5" t="s">
        <v>19</v>
      </c>
      <c r="N619" s="5" t="str">
        <f>HYPERLINK("http://www.lghausys.co.kr/popup/rn/download/downloadPopup.jsp?from=plwindow&amp;uu=/upload/window/REPORT/LGH-TA17-262.pdf","2.0907")</f>
        <v>2.0907</v>
      </c>
      <c r="O619" s="5" t="s">
        <v>19</v>
      </c>
      <c r="P619" s="5" t="s">
        <v>19</v>
      </c>
      <c r="Q619" s="5" t="s">
        <v>19</v>
      </c>
      <c r="R619" s="5" t="s">
        <v>19</v>
      </c>
      <c r="S619" s="5" t="s">
        <v>19</v>
      </c>
      <c r="T619" s="5" t="s">
        <v>19</v>
      </c>
      <c r="U619" s="5" t="s">
        <v>19</v>
      </c>
      <c r="V619" s="5" t="s">
        <v>19</v>
      </c>
      <c r="W619" s="5" t="s">
        <v>75</v>
      </c>
      <c r="X619"/>
    </row>
    <row r="620" spans="1:24">
      <c r="A620" t="s">
        <v>78</v>
      </c>
      <c r="B620" t="s">
        <v>19</v>
      </c>
      <c r="C620" t="s">
        <v>34</v>
      </c>
      <c r="D620" t="s">
        <v>41</v>
      </c>
      <c r="E620" t="s">
        <v>178</v>
      </c>
      <c r="F620" t="s">
        <v>19</v>
      </c>
      <c r="G620" t="s">
        <v>19</v>
      </c>
      <c r="H620" t="s">
        <v>19</v>
      </c>
      <c r="I620" t="s">
        <v>19</v>
      </c>
      <c r="J620" t="s">
        <v>145</v>
      </c>
      <c r="K620" s="21" t="s">
        <v>607</v>
      </c>
      <c r="L620" s="5" t="s">
        <v>19</v>
      </c>
      <c r="M620" s="5" t="s">
        <v>19</v>
      </c>
      <c r="N620" s="5" t="str">
        <f>HYPERLINK("http://www.lghausys.co.kr/popup/rn/download/downloadPopup.jsp?from=plwindow&amp;uu=/upload/window/REPORT/LGH-TA17-266.pdf","3.0817")</f>
        <v>3.0817</v>
      </c>
      <c r="O620" s="5" t="s">
        <v>19</v>
      </c>
      <c r="P620" s="5" t="s">
        <v>19</v>
      </c>
      <c r="Q620" s="5" t="s">
        <v>19</v>
      </c>
      <c r="R620" s="5" t="s">
        <v>19</v>
      </c>
      <c r="S620" s="5" t="s">
        <v>19</v>
      </c>
      <c r="T620" s="5" t="s">
        <v>19</v>
      </c>
      <c r="U620" s="5" t="s">
        <v>19</v>
      </c>
      <c r="V620" s="5" t="s">
        <v>19</v>
      </c>
      <c r="W620" s="5" t="s">
        <v>75</v>
      </c>
      <c r="X620"/>
    </row>
    <row r="621" spans="1:24">
      <c r="A621" t="s">
        <v>19</v>
      </c>
      <c r="B621" t="s">
        <v>48</v>
      </c>
      <c r="C621" t="s">
        <v>34</v>
      </c>
      <c r="D621" t="s">
        <v>41</v>
      </c>
      <c r="E621" t="s">
        <v>19</v>
      </c>
      <c r="F621" t="s">
        <v>19</v>
      </c>
      <c r="G621" t="s">
        <v>19</v>
      </c>
      <c r="H621" t="s">
        <v>41</v>
      </c>
      <c r="I621" t="s">
        <v>19</v>
      </c>
      <c r="J621" t="s">
        <v>74</v>
      </c>
      <c r="K621" s="21" t="s">
        <v>607</v>
      </c>
      <c r="L621" s="5" t="s">
        <v>19</v>
      </c>
      <c r="M621" s="5" t="s">
        <v>19</v>
      </c>
      <c r="N621" s="5" t="str">
        <f>HYPERLINK("http://www.lghausys.co.kr/popup/rn/download/downloadPopup.jsp?from=plwindow&amp;uu=/upload/window/REPORT/LGH-TA17-269.pdf","1.6231")</f>
        <v>1.6231</v>
      </c>
      <c r="O621" s="5" t="s">
        <v>19</v>
      </c>
      <c r="P621" s="5" t="s">
        <v>19</v>
      </c>
      <c r="Q621" s="5" t="s">
        <v>19</v>
      </c>
      <c r="R621" s="5" t="s">
        <v>19</v>
      </c>
      <c r="S621" s="5" t="s">
        <v>19</v>
      </c>
      <c r="T621" s="5" t="s">
        <v>19</v>
      </c>
      <c r="U621" s="5" t="s">
        <v>19</v>
      </c>
      <c r="V621" s="5" t="s">
        <v>19</v>
      </c>
      <c r="W621" s="5" t="s">
        <v>75</v>
      </c>
      <c r="X621"/>
    </row>
    <row r="622" spans="1:24">
      <c r="A622" t="s">
        <v>73</v>
      </c>
      <c r="B622" t="s">
        <v>19</v>
      </c>
      <c r="C622" t="s">
        <v>34</v>
      </c>
      <c r="D622" t="s">
        <v>53</v>
      </c>
      <c r="E622" t="s">
        <v>19</v>
      </c>
      <c r="F622" t="s">
        <v>19</v>
      </c>
      <c r="G622" t="s">
        <v>19</v>
      </c>
      <c r="H622" t="s">
        <v>53</v>
      </c>
      <c r="I622" t="s">
        <v>19</v>
      </c>
      <c r="J622" t="s">
        <v>97</v>
      </c>
      <c r="K622" s="21" t="s">
        <v>607</v>
      </c>
      <c r="L622" s="5" t="s">
        <v>19</v>
      </c>
      <c r="M622" s="5" t="s">
        <v>19</v>
      </c>
      <c r="N622" s="5" t="str">
        <f>HYPERLINK("http://www.lghausys.co.kr/popup/rn/download/downloadPopup.jsp?from=plwindow&amp;uu=/upload/window/REPORT/LGH-TA17-272.pdf","0.8511")</f>
        <v>0.8511</v>
      </c>
      <c r="O622" s="5" t="s">
        <v>19</v>
      </c>
      <c r="P622" s="5" t="s">
        <v>19</v>
      </c>
      <c r="Q622" s="5" t="s">
        <v>19</v>
      </c>
      <c r="R622" s="5" t="s">
        <v>19</v>
      </c>
      <c r="S622" s="5" t="s">
        <v>19</v>
      </c>
      <c r="T622" s="5" t="s">
        <v>19</v>
      </c>
      <c r="U622" s="5" t="s">
        <v>19</v>
      </c>
      <c r="V622" s="5" t="s">
        <v>19</v>
      </c>
      <c r="W622" s="5" t="s">
        <v>75</v>
      </c>
      <c r="X622"/>
    </row>
    <row r="623" spans="1:24">
      <c r="A623" t="s">
        <v>52</v>
      </c>
      <c r="B623" t="s">
        <v>19</v>
      </c>
      <c r="C623" t="s">
        <v>34</v>
      </c>
      <c r="D623" t="s">
        <v>89</v>
      </c>
      <c r="E623" t="s">
        <v>19</v>
      </c>
      <c r="F623" t="s">
        <v>19</v>
      </c>
      <c r="G623" t="s">
        <v>19</v>
      </c>
      <c r="H623" t="s">
        <v>28</v>
      </c>
      <c r="I623" t="s">
        <v>19</v>
      </c>
      <c r="J623" t="s">
        <v>74</v>
      </c>
      <c r="K623" s="21" t="s">
        <v>607</v>
      </c>
      <c r="L623" s="5" t="s">
        <v>19</v>
      </c>
      <c r="M623" s="5" t="s">
        <v>19</v>
      </c>
      <c r="N623" s="5" t="str">
        <f>HYPERLINK("http://www.lghausys.co.kr/popup/rn/download/downloadPopup.jsp?from=plwindow&amp;uu=/upload/window/REPORT/LGH-TA17-273.pdf","0.9271")</f>
        <v>0.9271</v>
      </c>
      <c r="O623" s="5" t="s">
        <v>19</v>
      </c>
      <c r="P623" s="5" t="s">
        <v>19</v>
      </c>
      <c r="Q623" s="5" t="s">
        <v>19</v>
      </c>
      <c r="R623" s="5" t="s">
        <v>19</v>
      </c>
      <c r="S623" s="5" t="s">
        <v>19</v>
      </c>
      <c r="T623" s="5" t="s">
        <v>19</v>
      </c>
      <c r="U623" s="5" t="s">
        <v>19</v>
      </c>
      <c r="V623" s="5" t="s">
        <v>19</v>
      </c>
      <c r="W623" s="5" t="s">
        <v>75</v>
      </c>
      <c r="X623"/>
    </row>
    <row r="624" spans="1:24">
      <c r="A624" t="s">
        <v>135</v>
      </c>
      <c r="B624" t="s">
        <v>19</v>
      </c>
      <c r="C624" t="s">
        <v>14</v>
      </c>
      <c r="D624" t="s">
        <v>64</v>
      </c>
      <c r="E624" t="s">
        <v>194</v>
      </c>
      <c r="F624" t="s">
        <v>19</v>
      </c>
      <c r="G624" t="s">
        <v>19</v>
      </c>
      <c r="H624" t="s">
        <v>64</v>
      </c>
      <c r="I624" t="s">
        <v>19</v>
      </c>
      <c r="J624" t="s">
        <v>97</v>
      </c>
      <c r="K624" s="21" t="s">
        <v>607</v>
      </c>
      <c r="L624" s="5" t="s">
        <v>19</v>
      </c>
      <c r="M624" s="5" t="s">
        <v>19</v>
      </c>
      <c r="N624" s="5" t="s">
        <v>19</v>
      </c>
      <c r="O624" s="5" t="s">
        <v>19</v>
      </c>
      <c r="P624" s="5" t="s">
        <v>19</v>
      </c>
      <c r="Q624" s="5" t="s">
        <v>19</v>
      </c>
      <c r="R624" s="5" t="s">
        <v>19</v>
      </c>
      <c r="S624" s="5" t="s">
        <v>19</v>
      </c>
      <c r="T624" s="5" t="str">
        <f>HYPERLINK("http://www.lghausys.co.kr/popup/rn/download/downloadPopup.jsp?from=plwindow&amp;uu=/upload/window/REPORT/LGH-DA17-030.pdf","결로발생없음")</f>
        <v>결로발생없음</v>
      </c>
      <c r="U624" s="5" t="s">
        <v>19</v>
      </c>
      <c r="V624" s="5" t="s">
        <v>19</v>
      </c>
      <c r="W624" s="5" t="s">
        <v>75</v>
      </c>
      <c r="X624"/>
    </row>
    <row r="625" spans="1:24">
      <c r="A625" t="s">
        <v>42</v>
      </c>
      <c r="B625" t="s">
        <v>43</v>
      </c>
      <c r="C625" t="s">
        <v>34</v>
      </c>
      <c r="D625" t="s">
        <v>25</v>
      </c>
      <c r="E625" t="s">
        <v>19</v>
      </c>
      <c r="F625" t="s">
        <v>19</v>
      </c>
      <c r="G625" t="s">
        <v>19</v>
      </c>
      <c r="H625" t="s">
        <v>19</v>
      </c>
      <c r="I625" t="s">
        <v>19</v>
      </c>
      <c r="J625" t="s">
        <v>97</v>
      </c>
      <c r="K625" s="21" t="s">
        <v>607</v>
      </c>
      <c r="L625" s="5" t="s">
        <v>19</v>
      </c>
      <c r="M625" s="5" t="s">
        <v>19</v>
      </c>
      <c r="N625" s="5" t="str">
        <f>HYPERLINK("http://www.lghausys.co.kr/popup/rn/download/downloadPopup.jsp?from=plwindow&amp;uu=/upload/window/REPORT/LGH-TA17-274.pdf","2.8224")</f>
        <v>2.8224</v>
      </c>
      <c r="O625" s="5" t="s">
        <v>19</v>
      </c>
      <c r="P625" s="5" t="s">
        <v>19</v>
      </c>
      <c r="Q625" s="5" t="s">
        <v>19</v>
      </c>
      <c r="R625" s="5" t="s">
        <v>19</v>
      </c>
      <c r="S625" s="5" t="s">
        <v>19</v>
      </c>
      <c r="T625" s="5" t="s">
        <v>19</v>
      </c>
      <c r="U625" s="5" t="s">
        <v>19</v>
      </c>
      <c r="V625" s="5" t="s">
        <v>19</v>
      </c>
      <c r="W625" s="5" t="s">
        <v>75</v>
      </c>
      <c r="X625"/>
    </row>
    <row r="626" spans="1:24">
      <c r="A626" t="s">
        <v>135</v>
      </c>
      <c r="B626" t="s">
        <v>19</v>
      </c>
      <c r="C626" t="s">
        <v>34</v>
      </c>
      <c r="D626" t="s">
        <v>64</v>
      </c>
      <c r="E626" t="s">
        <v>194</v>
      </c>
      <c r="F626" t="s">
        <v>19</v>
      </c>
      <c r="G626" t="s">
        <v>19</v>
      </c>
      <c r="H626" t="s">
        <v>64</v>
      </c>
      <c r="I626" t="s">
        <v>19</v>
      </c>
      <c r="J626" t="s">
        <v>97</v>
      </c>
      <c r="K626" s="21" t="s">
        <v>607</v>
      </c>
      <c r="L626" s="5" t="s">
        <v>19</v>
      </c>
      <c r="M626" s="5" t="s">
        <v>19</v>
      </c>
      <c r="N626" s="5" t="str">
        <f>HYPERLINK("http://www.lghausys.co.kr/popup/rn/download/downloadPopup.jsp?from=plwindow&amp;uu=/upload/window/REPORT/LGH-TA17-286.pdf","0.9211")</f>
        <v>0.9211</v>
      </c>
      <c r="O626" s="5" t="s">
        <v>19</v>
      </c>
      <c r="P626" s="5" t="s">
        <v>19</v>
      </c>
      <c r="Q626" s="5" t="s">
        <v>19</v>
      </c>
      <c r="R626" s="5" t="s">
        <v>19</v>
      </c>
      <c r="S626" s="5" t="s">
        <v>19</v>
      </c>
      <c r="T626" s="5" t="s">
        <v>19</v>
      </c>
      <c r="U626" s="5" t="s">
        <v>19</v>
      </c>
      <c r="V626" s="5" t="s">
        <v>19</v>
      </c>
      <c r="W626" s="5" t="s">
        <v>75</v>
      </c>
      <c r="X626"/>
    </row>
    <row r="627" spans="1:24">
      <c r="A627" t="s">
        <v>73</v>
      </c>
      <c r="B627" t="s">
        <v>19</v>
      </c>
      <c r="C627" t="s">
        <v>31</v>
      </c>
      <c r="D627" t="s">
        <v>165</v>
      </c>
      <c r="E627" t="s">
        <v>19</v>
      </c>
      <c r="F627" t="s">
        <v>19</v>
      </c>
      <c r="G627" t="s">
        <v>19</v>
      </c>
      <c r="H627" t="s">
        <v>165</v>
      </c>
      <c r="I627" t="s">
        <v>19</v>
      </c>
      <c r="J627" t="s">
        <v>74</v>
      </c>
      <c r="K627" s="21" t="s">
        <v>607</v>
      </c>
      <c r="L627" s="5" t="s">
        <v>19</v>
      </c>
      <c r="M627" s="5" t="s">
        <v>19</v>
      </c>
      <c r="N627" s="5" t="s">
        <v>19</v>
      </c>
      <c r="O627" s="5" t="str">
        <f>HYPERLINK("http://www.lghausys.co.kr/popup/rn/download/downloadPopup.jsp?from=plwindow&amp;uu=/upload/window/REPORT/LGH-WA17-260.pdf","1등급")</f>
        <v>1등급</v>
      </c>
      <c r="P627" s="5" t="s">
        <v>19</v>
      </c>
      <c r="Q627" s="5" t="s">
        <v>19</v>
      </c>
      <c r="R627" s="5" t="s">
        <v>19</v>
      </c>
      <c r="S627" s="5" t="s">
        <v>19</v>
      </c>
      <c r="T627" s="5" t="s">
        <v>19</v>
      </c>
      <c r="U627" s="5" t="s">
        <v>19</v>
      </c>
      <c r="V627" s="5" t="s">
        <v>19</v>
      </c>
      <c r="W627" s="5" t="s">
        <v>152</v>
      </c>
      <c r="X627"/>
    </row>
    <row r="628" spans="1:24">
      <c r="A628" t="s">
        <v>60</v>
      </c>
      <c r="B628" t="s">
        <v>19</v>
      </c>
      <c r="C628" t="s">
        <v>20</v>
      </c>
      <c r="D628" t="s">
        <v>68</v>
      </c>
      <c r="E628" t="s">
        <v>19</v>
      </c>
      <c r="F628" t="s">
        <v>19</v>
      </c>
      <c r="G628" t="s">
        <v>19</v>
      </c>
      <c r="H628" t="s">
        <v>102</v>
      </c>
      <c r="I628" t="s">
        <v>19</v>
      </c>
      <c r="J628" t="s">
        <v>74</v>
      </c>
      <c r="K628" s="21" t="str">
        <f>IF(X628&lt;=0.9,HYPERLINK("http://www.lxhausys.co.kr/popup/rn/download/downloadPopup.jsp?from=plwindow&amp;uu=/upload/window/REPORT/LGH-TW17-092.pdf","1등급"),IF(X628&lt;=1.2,HYPERLINK("http://www.lxhausys.co.kr/popup/rn/download/downloadPopup.jsp?from=plwindow&amp;uu=/upload/window/REPORT/LGH-TW17-092.pdf","2등급"),IF(X628&lt;=1.8,HYPERLINK("http://www.lxhausys.co.kr/popup/rn/download/downloadPopup.jsp?from=plwindow&amp;uu=/upload/window/REPORT/LGH-TW17-092.pdf","3등급"),IF(X628&lt;=2.3,HYPERLINK("http://www.lxhausys.co.kr/popup/rn/download/downloadPopup.jsp?from=plwindow&amp;uu=/upload/window/REPORT/LGH-TW17-092.pdf","4등급"),IF(X628&lt;=2.8,HYPERLINK("http://www.lxhausys.co.kr/popup/rn/download/downloadPopup.jsp?from=plwindow&amp;uu=/upload/window/REPORT/LGH-TW17-092.pdf","5등급"),HYPERLINK("http://www.lxhausys.co.kr/popup/rn/download/downloadPopup.jsp?from=plwindow&amp;uu=/upload/window/REPORT/LGH-TW17-092.pdf","등급외"))))))</f>
        <v>2등급</v>
      </c>
      <c r="L628" s="5">
        <v>0.97189999999999999</v>
      </c>
      <c r="M628" s="5" t="s">
        <v>22</v>
      </c>
      <c r="N628" s="5" t="s">
        <v>607</v>
      </c>
      <c r="O628" s="5" t="s">
        <v>19</v>
      </c>
      <c r="P628" s="5" t="s">
        <v>19</v>
      </c>
      <c r="Q628" s="5" t="s">
        <v>19</v>
      </c>
      <c r="R628" s="5" t="s">
        <v>19</v>
      </c>
      <c r="S628" s="5" t="s">
        <v>19</v>
      </c>
      <c r="T628" s="5" t="s">
        <v>19</v>
      </c>
      <c r="U628" s="5" t="s">
        <v>19</v>
      </c>
      <c r="V628" s="5" t="s">
        <v>19</v>
      </c>
      <c r="W628" s="5" t="s">
        <v>19</v>
      </c>
      <c r="X628" s="19">
        <f>L628</f>
        <v>0.97189999999999999</v>
      </c>
    </row>
    <row r="629" spans="1:24">
      <c r="A629" t="s">
        <v>60</v>
      </c>
      <c r="B629" t="s">
        <v>19</v>
      </c>
      <c r="C629" t="s">
        <v>20</v>
      </c>
      <c r="D629" t="s">
        <v>102</v>
      </c>
      <c r="E629" t="s">
        <v>19</v>
      </c>
      <c r="F629" t="s">
        <v>19</v>
      </c>
      <c r="G629" t="s">
        <v>19</v>
      </c>
      <c r="H629" t="s">
        <v>102</v>
      </c>
      <c r="I629" t="s">
        <v>19</v>
      </c>
      <c r="J629" t="s">
        <v>74</v>
      </c>
      <c r="K629" s="21" t="str">
        <f>IF(X629&lt;=0.9,HYPERLINK("http://www.lxhausys.co.kr/popup/rn/download/downloadPopup.jsp?from=plwindow&amp;uu=/upload/window/REPORT/LGH-TW17-093.pdf","1등급"),IF(X629&lt;=1.2,HYPERLINK("http://www.lxhausys.co.kr/popup/rn/download/downloadPopup.jsp?from=plwindow&amp;uu=/upload/window/REPORT/LGH-TW17-093.pdf","2등급"),IF(X629&lt;=1.8,HYPERLINK("http://www.lxhausys.co.kr/popup/rn/download/downloadPopup.jsp?from=plwindow&amp;uu=/upload/window/REPORT/LGH-TW17-093.pdf","3등급"),IF(X629&lt;=2.3,HYPERLINK("http://www.lxhausys.co.kr/popup/rn/download/downloadPopup.jsp?from=plwindow&amp;uu=/upload/window/REPORT/LGH-TW17-093.pdf","4등급"),IF(X629&lt;=2.8,HYPERLINK("http://www.lxhausys.co.kr/popup/rn/download/downloadPopup.jsp?from=plwindow&amp;uu=/upload/window/REPORT/LGH-TW17-093.pdf","5등급"),HYPERLINK("http://www.lxhausys.co.kr/popup/rn/download/downloadPopup.jsp?from=plwindow&amp;uu=/upload/window/REPORT/LGH-TW17-093.pdf","등급외"))))))</f>
        <v>2등급</v>
      </c>
      <c r="L629" s="5">
        <v>0.93810000000000004</v>
      </c>
      <c r="M629" s="5" t="s">
        <v>22</v>
      </c>
      <c r="N629" s="5" t="s">
        <v>607</v>
      </c>
      <c r="O629" s="5" t="s">
        <v>19</v>
      </c>
      <c r="P629" s="5" t="s">
        <v>19</v>
      </c>
      <c r="Q629" s="5" t="s">
        <v>19</v>
      </c>
      <c r="R629" s="5" t="s">
        <v>19</v>
      </c>
      <c r="S629" s="5" t="s">
        <v>19</v>
      </c>
      <c r="T629" s="5" t="s">
        <v>19</v>
      </c>
      <c r="U629" s="5" t="s">
        <v>19</v>
      </c>
      <c r="V629" s="5" t="s">
        <v>19</v>
      </c>
      <c r="W629" s="5" t="s">
        <v>19</v>
      </c>
      <c r="X629" s="19">
        <f>L629</f>
        <v>0.93810000000000004</v>
      </c>
    </row>
    <row r="630" spans="1:24">
      <c r="A630" t="s">
        <v>144</v>
      </c>
      <c r="B630" t="s">
        <v>19</v>
      </c>
      <c r="C630" t="s">
        <v>20</v>
      </c>
      <c r="D630" t="s">
        <v>68</v>
      </c>
      <c r="E630" t="s">
        <v>19</v>
      </c>
      <c r="F630" t="s">
        <v>19</v>
      </c>
      <c r="G630" t="s">
        <v>19</v>
      </c>
      <c r="H630" t="s">
        <v>102</v>
      </c>
      <c r="I630" t="s">
        <v>19</v>
      </c>
      <c r="J630" t="s">
        <v>74</v>
      </c>
      <c r="K630" s="21" t="str">
        <f>IF(X630&lt;=0.9,HYPERLINK("http://www.lxhausys.co.kr/popup/rn/download/downloadPopup.jsp?from=plwindow&amp;uu=/upload/window/REPORT/LGH-TW17-095.pdf","1등급"),IF(X630&lt;=1.2,HYPERLINK("http://www.lxhausys.co.kr/popup/rn/download/downloadPopup.jsp?from=plwindow&amp;uu=/upload/window/REPORT/LGH-TW17-095.pdf","2등급"),IF(X630&lt;=1.8,HYPERLINK("http://www.lxhausys.co.kr/popup/rn/download/downloadPopup.jsp?from=plwindow&amp;uu=/upload/window/REPORT/LGH-TW17-095.pdf","3등급"),IF(X630&lt;=2.3,HYPERLINK("http://www.lxhausys.co.kr/popup/rn/download/downloadPopup.jsp?from=plwindow&amp;uu=/upload/window/REPORT/LGH-TW17-095.pdf","4등급"),IF(X630&lt;=2.8,HYPERLINK("http://www.lxhausys.co.kr/popup/rn/download/downloadPopup.jsp?from=plwindow&amp;uu=/upload/window/REPORT/LGH-TW17-095.pdf","5등급"),HYPERLINK("http://www.lxhausys.co.kr/popup/rn/download/downloadPopup.jsp?from=plwindow&amp;uu=/upload/window/REPORT/LGH-TW17-095.pdf","등급외"))))))</f>
        <v>2등급</v>
      </c>
      <c r="L630" s="5">
        <v>0.95369999999999999</v>
      </c>
      <c r="M630" s="5" t="s">
        <v>22</v>
      </c>
      <c r="N630" s="5" t="s">
        <v>607</v>
      </c>
      <c r="O630" s="5" t="s">
        <v>19</v>
      </c>
      <c r="P630" s="5" t="s">
        <v>19</v>
      </c>
      <c r="Q630" s="5" t="s">
        <v>19</v>
      </c>
      <c r="R630" s="5" t="s">
        <v>19</v>
      </c>
      <c r="S630" s="5" t="s">
        <v>19</v>
      </c>
      <c r="T630" s="5" t="s">
        <v>19</v>
      </c>
      <c r="U630" s="5" t="s">
        <v>19</v>
      </c>
      <c r="V630" s="5" t="s">
        <v>19</v>
      </c>
      <c r="W630" s="5" t="s">
        <v>19</v>
      </c>
      <c r="X630" s="19">
        <f>L630</f>
        <v>0.95369999999999999</v>
      </c>
    </row>
    <row r="631" spans="1:24">
      <c r="A631" t="s">
        <v>100</v>
      </c>
      <c r="B631" t="s">
        <v>19</v>
      </c>
      <c r="C631" t="s">
        <v>20</v>
      </c>
      <c r="D631" t="s">
        <v>68</v>
      </c>
      <c r="E631" t="s">
        <v>19</v>
      </c>
      <c r="F631" t="s">
        <v>19</v>
      </c>
      <c r="G631" t="s">
        <v>19</v>
      </c>
      <c r="H631" t="s">
        <v>102</v>
      </c>
      <c r="I631" t="s">
        <v>19</v>
      </c>
      <c r="J631" t="s">
        <v>74</v>
      </c>
      <c r="K631" s="21" t="str">
        <f>IF(X631&lt;=0.9,HYPERLINK("http://www.lxhausys.co.kr/popup/rn/download/downloadPopup.jsp?from=plwindow&amp;uu=/upload/window/REPORT/LGH-TW17-096.pdf","1등급"),IF(X631&lt;=1.2,HYPERLINK("http://www.lxhausys.co.kr/popup/rn/download/downloadPopup.jsp?from=plwindow&amp;uu=/upload/window/REPORT/LGH-TW17-096.pdf","2등급"),IF(X631&lt;=1.8,HYPERLINK("http://www.lxhausys.co.kr/popup/rn/download/downloadPopup.jsp?from=plwindow&amp;uu=/upload/window/REPORT/LGH-TW17-096.pdf","3등급"),IF(X631&lt;=2.3,HYPERLINK("http://www.lxhausys.co.kr/popup/rn/download/downloadPopup.jsp?from=plwindow&amp;uu=/upload/window/REPORT/LGH-TW17-096.pdf","4등급"),IF(X631&lt;=2.8,HYPERLINK("http://www.lxhausys.co.kr/popup/rn/download/downloadPopup.jsp?from=plwindow&amp;uu=/upload/window/REPORT/LGH-TW17-096.pdf","5등급"),HYPERLINK("http://www.lxhausys.co.kr/popup/rn/download/downloadPopup.jsp?from=plwindow&amp;uu=/upload/window/REPORT/LGH-TW17-096.pdf","등급외"))))))</f>
        <v>2등급</v>
      </c>
      <c r="L631" s="5">
        <v>0.94730000000000003</v>
      </c>
      <c r="M631" s="5" t="s">
        <v>22</v>
      </c>
      <c r="N631" s="5" t="s">
        <v>607</v>
      </c>
      <c r="O631" s="5" t="s">
        <v>19</v>
      </c>
      <c r="P631" s="5" t="s">
        <v>19</v>
      </c>
      <c r="Q631" s="5" t="s">
        <v>19</v>
      </c>
      <c r="R631" s="5" t="s">
        <v>19</v>
      </c>
      <c r="S631" s="5" t="s">
        <v>19</v>
      </c>
      <c r="T631" s="5" t="s">
        <v>19</v>
      </c>
      <c r="U631" s="5" t="s">
        <v>19</v>
      </c>
      <c r="V631" s="5" t="s">
        <v>19</v>
      </c>
      <c r="W631" s="5" t="s">
        <v>19</v>
      </c>
      <c r="X631" s="19">
        <f>L631</f>
        <v>0.94730000000000003</v>
      </c>
    </row>
    <row r="632" spans="1:24">
      <c r="A632" t="s">
        <v>125</v>
      </c>
      <c r="B632" t="s">
        <v>19</v>
      </c>
      <c r="C632" t="s">
        <v>34</v>
      </c>
      <c r="D632" t="s">
        <v>32</v>
      </c>
      <c r="E632" t="s">
        <v>19</v>
      </c>
      <c r="F632" t="s">
        <v>19</v>
      </c>
      <c r="G632" t="s">
        <v>19</v>
      </c>
      <c r="H632" t="s">
        <v>19</v>
      </c>
      <c r="I632" t="s">
        <v>19</v>
      </c>
      <c r="J632" t="s">
        <v>74</v>
      </c>
      <c r="K632" s="21" t="s">
        <v>607</v>
      </c>
      <c r="L632" s="5" t="s">
        <v>19</v>
      </c>
      <c r="M632" s="5" t="s">
        <v>19</v>
      </c>
      <c r="N632" s="5" t="str">
        <f>HYPERLINK("http://www.lghausys.co.kr/popup/rn/download/downloadPopup.jsp?from=plwindow&amp;uu=/upload/window/REPORT/LGH-TA17-300.pdf","3.0941")</f>
        <v>3.0941</v>
      </c>
      <c r="O632" s="5" t="s">
        <v>19</v>
      </c>
      <c r="P632" s="5" t="s">
        <v>19</v>
      </c>
      <c r="Q632" s="5" t="s">
        <v>19</v>
      </c>
      <c r="R632" s="5" t="s">
        <v>19</v>
      </c>
      <c r="S632" s="5" t="s">
        <v>19</v>
      </c>
      <c r="T632" s="5" t="s">
        <v>19</v>
      </c>
      <c r="U632" s="5" t="s">
        <v>19</v>
      </c>
      <c r="V632" s="5" t="s">
        <v>19</v>
      </c>
      <c r="W632" s="5" t="s">
        <v>75</v>
      </c>
      <c r="X632"/>
    </row>
    <row r="633" spans="1:24">
      <c r="A633" t="s">
        <v>61</v>
      </c>
      <c r="B633" t="s">
        <v>19</v>
      </c>
      <c r="C633" t="s">
        <v>34</v>
      </c>
      <c r="D633" t="s">
        <v>28</v>
      </c>
      <c r="E633" t="s">
        <v>19</v>
      </c>
      <c r="F633" t="s">
        <v>19</v>
      </c>
      <c r="G633" t="s">
        <v>19</v>
      </c>
      <c r="H633" t="s">
        <v>19</v>
      </c>
      <c r="I633" t="s">
        <v>19</v>
      </c>
      <c r="J633" t="s">
        <v>99</v>
      </c>
      <c r="K633" s="21" t="s">
        <v>607</v>
      </c>
      <c r="L633" s="5" t="s">
        <v>19</v>
      </c>
      <c r="M633" s="5" t="s">
        <v>19</v>
      </c>
      <c r="N633" s="5" t="str">
        <f>HYPERLINK("http://www.lghausys.co.kr/popup/rn/download/downloadPopup.jsp?from=plwindow&amp;uu=/upload/window/REPORT/LGH-TA17-311.pdf","2.505")</f>
        <v>2.505</v>
      </c>
      <c r="O633" s="5" t="s">
        <v>19</v>
      </c>
      <c r="P633" s="5" t="s">
        <v>19</v>
      </c>
      <c r="Q633" s="5" t="s">
        <v>19</v>
      </c>
      <c r="R633" s="5" t="s">
        <v>19</v>
      </c>
      <c r="S633" s="5" t="s">
        <v>19</v>
      </c>
      <c r="T633" s="5" t="s">
        <v>19</v>
      </c>
      <c r="U633" s="5" t="s">
        <v>19</v>
      </c>
      <c r="V633" s="5" t="s">
        <v>19</v>
      </c>
      <c r="W633" s="5" t="s">
        <v>75</v>
      </c>
      <c r="X633"/>
    </row>
    <row r="634" spans="1:24">
      <c r="A634" t="s">
        <v>52</v>
      </c>
      <c r="B634" t="s">
        <v>19</v>
      </c>
      <c r="C634" t="s">
        <v>34</v>
      </c>
      <c r="D634" t="s">
        <v>25</v>
      </c>
      <c r="E634" t="s">
        <v>19</v>
      </c>
      <c r="F634" t="s">
        <v>19</v>
      </c>
      <c r="G634" t="s">
        <v>19</v>
      </c>
      <c r="H634" t="s">
        <v>64</v>
      </c>
      <c r="I634" t="s">
        <v>19</v>
      </c>
      <c r="J634" t="s">
        <v>74</v>
      </c>
      <c r="K634" s="21" t="s">
        <v>607</v>
      </c>
      <c r="L634" s="5" t="s">
        <v>19</v>
      </c>
      <c r="M634" s="5" t="s">
        <v>19</v>
      </c>
      <c r="N634" s="5" t="str">
        <f>HYPERLINK("http://www.lghausys.co.kr/popup/rn/download/downloadPopup.jsp?from=plwindow&amp;uu=/upload/window/REPORT/LGH-TA17-325.pdf","0.9991")</f>
        <v>0.9991</v>
      </c>
      <c r="O634" s="5" t="s">
        <v>19</v>
      </c>
      <c r="P634" s="5" t="s">
        <v>19</v>
      </c>
      <c r="Q634" s="5" t="s">
        <v>19</v>
      </c>
      <c r="R634" s="5" t="s">
        <v>19</v>
      </c>
      <c r="S634" s="5" t="s">
        <v>19</v>
      </c>
      <c r="T634" s="5" t="s">
        <v>19</v>
      </c>
      <c r="U634" s="5" t="s">
        <v>19</v>
      </c>
      <c r="V634" s="5" t="s">
        <v>19</v>
      </c>
      <c r="W634" s="5" t="s">
        <v>75</v>
      </c>
      <c r="X634"/>
    </row>
    <row r="635" spans="1:24">
      <c r="A635" t="s">
        <v>52</v>
      </c>
      <c r="B635" t="s">
        <v>19</v>
      </c>
      <c r="C635" t="s">
        <v>34</v>
      </c>
      <c r="D635" t="s">
        <v>25</v>
      </c>
      <c r="E635" t="s">
        <v>19</v>
      </c>
      <c r="F635" t="s">
        <v>19</v>
      </c>
      <c r="G635" t="s">
        <v>19</v>
      </c>
      <c r="H635" t="s">
        <v>53</v>
      </c>
      <c r="I635" t="s">
        <v>19</v>
      </c>
      <c r="J635" t="s">
        <v>74</v>
      </c>
      <c r="K635" s="21" t="s">
        <v>607</v>
      </c>
      <c r="L635" s="5" t="s">
        <v>19</v>
      </c>
      <c r="M635" s="5" t="s">
        <v>19</v>
      </c>
      <c r="N635" s="5" t="str">
        <f>HYPERLINK("http://www.lghausys.co.kr/popup/rn/download/downloadPopup.jsp?from=plwindow&amp;uu=/upload/window/REPORT/LGH-TA17-326.pdf","0.9514")</f>
        <v>0.9514</v>
      </c>
      <c r="O635" s="5" t="s">
        <v>19</v>
      </c>
      <c r="P635" s="5" t="s">
        <v>19</v>
      </c>
      <c r="Q635" s="5" t="s">
        <v>19</v>
      </c>
      <c r="R635" s="5" t="s">
        <v>19</v>
      </c>
      <c r="S635" s="5" t="s">
        <v>19</v>
      </c>
      <c r="T635" s="5" t="s">
        <v>19</v>
      </c>
      <c r="U635" s="5" t="s">
        <v>19</v>
      </c>
      <c r="V635" s="5" t="s">
        <v>19</v>
      </c>
      <c r="W635" s="5" t="s">
        <v>75</v>
      </c>
      <c r="X635"/>
    </row>
    <row r="636" spans="1:24">
      <c r="A636" t="s">
        <v>52</v>
      </c>
      <c r="B636" t="s">
        <v>19</v>
      </c>
      <c r="C636" t="s">
        <v>34</v>
      </c>
      <c r="D636" t="s">
        <v>25</v>
      </c>
      <c r="E636" t="s">
        <v>19</v>
      </c>
      <c r="F636" t="s">
        <v>19</v>
      </c>
      <c r="G636" t="s">
        <v>19</v>
      </c>
      <c r="H636" t="s">
        <v>28</v>
      </c>
      <c r="I636" t="s">
        <v>19</v>
      </c>
      <c r="J636" t="s">
        <v>74</v>
      </c>
      <c r="K636" s="21" t="s">
        <v>607</v>
      </c>
      <c r="L636" s="5" t="s">
        <v>19</v>
      </c>
      <c r="M636" s="5" t="s">
        <v>19</v>
      </c>
      <c r="N636" s="5" t="str">
        <f>HYPERLINK("http://www.lghausys.co.kr/popup/rn/download/downloadPopup.jsp?from=plwindow&amp;uu=/upload/window/REPORT/LGH-TA17-327.pdf","1.0714")</f>
        <v>1.0714</v>
      </c>
      <c r="O636" s="5" t="s">
        <v>19</v>
      </c>
      <c r="P636" s="5" t="s">
        <v>19</v>
      </c>
      <c r="Q636" s="5" t="s">
        <v>19</v>
      </c>
      <c r="R636" s="5" t="s">
        <v>19</v>
      </c>
      <c r="S636" s="5" t="s">
        <v>19</v>
      </c>
      <c r="T636" s="5" t="s">
        <v>19</v>
      </c>
      <c r="U636" s="5" t="s">
        <v>19</v>
      </c>
      <c r="V636" s="5" t="s">
        <v>19</v>
      </c>
      <c r="W636" s="5" t="s">
        <v>75</v>
      </c>
      <c r="X636"/>
    </row>
    <row r="637" spans="1:24">
      <c r="A637" t="s">
        <v>52</v>
      </c>
      <c r="B637" t="s">
        <v>19</v>
      </c>
      <c r="C637" t="s">
        <v>34</v>
      </c>
      <c r="D637" t="s">
        <v>25</v>
      </c>
      <c r="E637" t="s">
        <v>19</v>
      </c>
      <c r="F637" t="s">
        <v>19</v>
      </c>
      <c r="G637" t="s">
        <v>19</v>
      </c>
      <c r="H637" t="s">
        <v>21</v>
      </c>
      <c r="I637" t="s">
        <v>19</v>
      </c>
      <c r="J637" t="s">
        <v>74</v>
      </c>
      <c r="K637" s="21" t="s">
        <v>607</v>
      </c>
      <c r="L637" s="5" t="s">
        <v>19</v>
      </c>
      <c r="M637" s="5" t="s">
        <v>19</v>
      </c>
      <c r="N637" s="5" t="str">
        <f>HYPERLINK("http://www.lghausys.co.kr/popup/rn/download/downloadPopup.jsp?from=plwindow&amp;uu=/upload/window/REPORT/LGH-TA17-328.pdf","1.0153")</f>
        <v>1.0153</v>
      </c>
      <c r="O637" s="5" t="s">
        <v>19</v>
      </c>
      <c r="P637" s="5" t="s">
        <v>19</v>
      </c>
      <c r="Q637" s="5" t="s">
        <v>19</v>
      </c>
      <c r="R637" s="5" t="s">
        <v>19</v>
      </c>
      <c r="S637" s="5" t="s">
        <v>19</v>
      </c>
      <c r="T637" s="5" t="s">
        <v>19</v>
      </c>
      <c r="U637" s="5" t="s">
        <v>19</v>
      </c>
      <c r="V637" s="5" t="s">
        <v>19</v>
      </c>
      <c r="W637" s="5" t="s">
        <v>75</v>
      </c>
      <c r="X637"/>
    </row>
    <row r="638" spans="1:24">
      <c r="A638" t="s">
        <v>19</v>
      </c>
      <c r="B638" t="s">
        <v>83</v>
      </c>
      <c r="C638" t="s">
        <v>34</v>
      </c>
      <c r="D638" t="s">
        <v>21</v>
      </c>
      <c r="E638" t="s">
        <v>19</v>
      </c>
      <c r="F638" t="s">
        <v>19</v>
      </c>
      <c r="G638" t="s">
        <v>19</v>
      </c>
      <c r="H638" t="s">
        <v>19</v>
      </c>
      <c r="I638" t="s">
        <v>19</v>
      </c>
      <c r="J638" t="s">
        <v>97</v>
      </c>
      <c r="K638" s="21" t="s">
        <v>607</v>
      </c>
      <c r="L638" s="5" t="s">
        <v>19</v>
      </c>
      <c r="M638" s="5" t="s">
        <v>19</v>
      </c>
      <c r="N638" s="5" t="str">
        <f>HYPERLINK("http://www.lghausys.co.kr/popup/rn/download/downloadPopup.jsp?from=plwindow&amp;uu=/upload/window/REPORT/LGH-TA17-331.pdf","1.8359")</f>
        <v>1.8359</v>
      </c>
      <c r="O638" s="5" t="s">
        <v>19</v>
      </c>
      <c r="P638" s="5" t="s">
        <v>19</v>
      </c>
      <c r="Q638" s="5" t="s">
        <v>19</v>
      </c>
      <c r="R638" s="5" t="s">
        <v>19</v>
      </c>
      <c r="S638" s="5" t="s">
        <v>19</v>
      </c>
      <c r="T638" s="5" t="s">
        <v>19</v>
      </c>
      <c r="U638" s="5" t="s">
        <v>19</v>
      </c>
      <c r="V638" s="5" t="s">
        <v>19</v>
      </c>
      <c r="W638" s="5" t="s">
        <v>75</v>
      </c>
      <c r="X638"/>
    </row>
    <row r="639" spans="1:24">
      <c r="A639" t="s">
        <v>133</v>
      </c>
      <c r="B639" t="s">
        <v>19</v>
      </c>
      <c r="C639" t="s">
        <v>34</v>
      </c>
      <c r="D639" t="s">
        <v>25</v>
      </c>
      <c r="E639" t="s">
        <v>178</v>
      </c>
      <c r="F639" t="s">
        <v>19</v>
      </c>
      <c r="G639" t="s">
        <v>19</v>
      </c>
      <c r="H639" t="s">
        <v>25</v>
      </c>
      <c r="I639" t="s">
        <v>19</v>
      </c>
      <c r="J639" t="s">
        <v>99</v>
      </c>
      <c r="K639" s="21" t="s">
        <v>607</v>
      </c>
      <c r="L639" s="5" t="s">
        <v>19</v>
      </c>
      <c r="M639" s="5" t="s">
        <v>19</v>
      </c>
      <c r="N639" s="5" t="str">
        <f>HYPERLINK("http://www.lghausys.co.kr/popup/rn/download/downloadPopup.jsp?from=plwindow&amp;uu=/upload/window/REPORT/LGH-TA17-332.pdf","1.3274")</f>
        <v>1.3274</v>
      </c>
      <c r="O639" s="5" t="s">
        <v>19</v>
      </c>
      <c r="P639" s="5" t="s">
        <v>19</v>
      </c>
      <c r="Q639" s="5" t="s">
        <v>19</v>
      </c>
      <c r="R639" s="5" t="s">
        <v>19</v>
      </c>
      <c r="S639" s="5" t="s">
        <v>19</v>
      </c>
      <c r="T639" s="5" t="s">
        <v>19</v>
      </c>
      <c r="U639" s="5" t="s">
        <v>19</v>
      </c>
      <c r="V639" s="5" t="s">
        <v>19</v>
      </c>
      <c r="W639" s="5" t="s">
        <v>75</v>
      </c>
      <c r="X639"/>
    </row>
    <row r="640" spans="1:24">
      <c r="A640" t="s">
        <v>136</v>
      </c>
      <c r="B640" t="s">
        <v>19</v>
      </c>
      <c r="C640" t="s">
        <v>34</v>
      </c>
      <c r="D640" t="s">
        <v>25</v>
      </c>
      <c r="E640" t="s">
        <v>178</v>
      </c>
      <c r="F640" t="s">
        <v>19</v>
      </c>
      <c r="G640" t="s">
        <v>19</v>
      </c>
      <c r="H640" t="s">
        <v>19</v>
      </c>
      <c r="I640" t="s">
        <v>19</v>
      </c>
      <c r="J640" t="s">
        <v>99</v>
      </c>
      <c r="K640" s="21" t="s">
        <v>607</v>
      </c>
      <c r="L640" s="5" t="s">
        <v>19</v>
      </c>
      <c r="M640" s="5" t="s">
        <v>19</v>
      </c>
      <c r="N640" s="5" t="str">
        <f>HYPERLINK("http://www.lghausys.co.kr/popup/rn/download/downloadPopup.jsp?from=plwindow&amp;uu=/upload/window/REPORT/LGH-TA17-333.pdf","3.1192")</f>
        <v>3.1192</v>
      </c>
      <c r="O640" s="5" t="s">
        <v>19</v>
      </c>
      <c r="P640" s="5" t="s">
        <v>19</v>
      </c>
      <c r="Q640" s="5" t="s">
        <v>19</v>
      </c>
      <c r="R640" s="5" t="s">
        <v>19</v>
      </c>
      <c r="S640" s="5" t="s">
        <v>19</v>
      </c>
      <c r="T640" s="5" t="s">
        <v>19</v>
      </c>
      <c r="U640" s="5" t="s">
        <v>19</v>
      </c>
      <c r="V640" s="5" t="s">
        <v>19</v>
      </c>
      <c r="W640" s="5" t="s">
        <v>75</v>
      </c>
      <c r="X640"/>
    </row>
    <row r="641" spans="1:24">
      <c r="A641" t="s">
        <v>57</v>
      </c>
      <c r="B641" t="s">
        <v>58</v>
      </c>
      <c r="C641" t="s">
        <v>34</v>
      </c>
      <c r="D641" t="s">
        <v>25</v>
      </c>
      <c r="E641" t="s">
        <v>19</v>
      </c>
      <c r="F641" t="s">
        <v>19</v>
      </c>
      <c r="G641" t="s">
        <v>19</v>
      </c>
      <c r="H641" t="s">
        <v>19</v>
      </c>
      <c r="I641" t="s">
        <v>19</v>
      </c>
      <c r="J641" t="s">
        <v>145</v>
      </c>
      <c r="K641" s="21" t="s">
        <v>607</v>
      </c>
      <c r="L641" s="5" t="s">
        <v>19</v>
      </c>
      <c r="M641" s="5" t="s">
        <v>19</v>
      </c>
      <c r="N641" s="5" t="str">
        <f>HYPERLINK("http://www.lghausys.co.kr/popup/rn/download/downloadPopup.jsp?from=plwindow&amp;uu=/upload/window/REPORT/LGH-TA17-334.pdf","3.046")</f>
        <v>3.046</v>
      </c>
      <c r="O641" s="5" t="s">
        <v>19</v>
      </c>
      <c r="P641" s="5" t="s">
        <v>19</v>
      </c>
      <c r="Q641" s="5" t="s">
        <v>19</v>
      </c>
      <c r="R641" s="5" t="s">
        <v>19</v>
      </c>
      <c r="S641" s="5" t="s">
        <v>19</v>
      </c>
      <c r="T641" s="5" t="s">
        <v>19</v>
      </c>
      <c r="U641" s="5" t="s">
        <v>19</v>
      </c>
      <c r="V641" s="5" t="s">
        <v>19</v>
      </c>
      <c r="W641" s="5" t="s">
        <v>75</v>
      </c>
      <c r="X641"/>
    </row>
    <row r="642" spans="1:24">
      <c r="A642" t="s">
        <v>52</v>
      </c>
      <c r="B642" t="s">
        <v>19</v>
      </c>
      <c r="C642" t="s">
        <v>34</v>
      </c>
      <c r="D642" t="s">
        <v>25</v>
      </c>
      <c r="E642" t="s">
        <v>19</v>
      </c>
      <c r="F642" t="s">
        <v>19</v>
      </c>
      <c r="G642" t="s">
        <v>19</v>
      </c>
      <c r="H642" t="s">
        <v>28</v>
      </c>
      <c r="I642" t="s">
        <v>19</v>
      </c>
      <c r="J642" t="s">
        <v>99</v>
      </c>
      <c r="K642" s="21" t="s">
        <v>607</v>
      </c>
      <c r="L642" s="5" t="s">
        <v>19</v>
      </c>
      <c r="M642" s="5" t="s">
        <v>19</v>
      </c>
      <c r="N642" s="5" t="str">
        <f>HYPERLINK("http://www.lghausys.co.kr/popup/rn/download/downloadPopup.jsp?from=plwindow&amp;uu=/upload/window/REPORT/LGH-TA17-337.pdf","1.1263")</f>
        <v>1.1263</v>
      </c>
      <c r="O642" s="5" t="s">
        <v>19</v>
      </c>
      <c r="P642" s="5" t="s">
        <v>19</v>
      </c>
      <c r="Q642" s="5" t="s">
        <v>19</v>
      </c>
      <c r="R642" s="5" t="s">
        <v>19</v>
      </c>
      <c r="S642" s="5" t="s">
        <v>19</v>
      </c>
      <c r="T642" s="5" t="s">
        <v>19</v>
      </c>
      <c r="U642" s="5" t="s">
        <v>19</v>
      </c>
      <c r="V642" s="5" t="s">
        <v>19</v>
      </c>
      <c r="W642" s="5" t="s">
        <v>75</v>
      </c>
      <c r="X642"/>
    </row>
    <row r="643" spans="1:24">
      <c r="A643" t="s">
        <v>18</v>
      </c>
      <c r="B643" t="s">
        <v>19</v>
      </c>
      <c r="C643" t="s">
        <v>31</v>
      </c>
      <c r="D643" t="s">
        <v>25</v>
      </c>
      <c r="E643" t="s">
        <v>19</v>
      </c>
      <c r="F643" t="s">
        <v>19</v>
      </c>
      <c r="G643" t="s">
        <v>19</v>
      </c>
      <c r="H643" t="s">
        <v>19</v>
      </c>
      <c r="I643" t="s">
        <v>19</v>
      </c>
      <c r="J643" t="s">
        <v>99</v>
      </c>
      <c r="K643" s="21" t="s">
        <v>607</v>
      </c>
      <c r="L643" s="5" t="s">
        <v>19</v>
      </c>
      <c r="M643" s="5" t="s">
        <v>19</v>
      </c>
      <c r="N643" s="5" t="s">
        <v>19</v>
      </c>
      <c r="O643" s="5" t="str">
        <f>HYPERLINK("http://www.lghausys.co.kr/popup/rn/download/downloadPopup.jsp?from=plwindow&amp;uu=/upload/window/REPORT/LGH-WA18-003.pdf","1등급")</f>
        <v>1등급</v>
      </c>
      <c r="P643" s="5" t="str">
        <f>HYPERLINK("http://www.lghausys.co.kr/popup/rn/download/downloadPopup.jsp?from=plwindow&amp;uu=/upload/window/REPORT/LGH-WA18-003.pdf","35등급")</f>
        <v>35등급</v>
      </c>
      <c r="Q643" s="5" t="str">
        <f>HYPERLINK("http://www.lghausys.co.kr/popup/rn/download/downloadPopup.jsp?from=plwindow&amp;uu=/upload/window/REPORT/LGH-WA18-003.pdf","200등급")</f>
        <v>200등급</v>
      </c>
      <c r="R643" s="5" t="s">
        <v>19</v>
      </c>
      <c r="S643" s="5" t="s">
        <v>19</v>
      </c>
      <c r="T643" s="5" t="s">
        <v>19</v>
      </c>
      <c r="U643" s="5" t="s">
        <v>19</v>
      </c>
      <c r="V643" s="5" t="s">
        <v>19</v>
      </c>
      <c r="W643" s="5" t="s">
        <v>152</v>
      </c>
      <c r="X643"/>
    </row>
    <row r="644" spans="1:24">
      <c r="A644" t="s">
        <v>42</v>
      </c>
      <c r="B644" t="s">
        <v>43</v>
      </c>
      <c r="C644" t="s">
        <v>31</v>
      </c>
      <c r="D644" t="s">
        <v>28</v>
      </c>
      <c r="E644" t="s">
        <v>19</v>
      </c>
      <c r="F644" t="s">
        <v>19</v>
      </c>
      <c r="G644" t="s">
        <v>19</v>
      </c>
      <c r="H644" t="s">
        <v>19</v>
      </c>
      <c r="I644" t="s">
        <v>19</v>
      </c>
      <c r="J644" t="s">
        <v>74</v>
      </c>
      <c r="K644" s="21" t="s">
        <v>607</v>
      </c>
      <c r="L644" s="5" t="s">
        <v>19</v>
      </c>
      <c r="M644" s="5" t="s">
        <v>19</v>
      </c>
      <c r="N644" s="5" t="s">
        <v>19</v>
      </c>
      <c r="O644" s="5" t="str">
        <f>HYPERLINK("http://www.lghausys.co.kr/popup/rn/download/downloadPopup.jsp?from=plwindow&amp;uu=/upload/window/REPORT/LGH-WA18-009.pdf","1등급")</f>
        <v>1등급</v>
      </c>
      <c r="P644" s="5" t="s">
        <v>19</v>
      </c>
      <c r="Q644" s="5" t="s">
        <v>19</v>
      </c>
      <c r="R644" s="5" t="s">
        <v>19</v>
      </c>
      <c r="S644" s="5" t="s">
        <v>19</v>
      </c>
      <c r="T644" s="5" t="s">
        <v>19</v>
      </c>
      <c r="U644" s="5" t="s">
        <v>19</v>
      </c>
      <c r="V644" s="5" t="s">
        <v>19</v>
      </c>
      <c r="W644" s="5" t="s">
        <v>152</v>
      </c>
      <c r="X644"/>
    </row>
    <row r="645" spans="1:24">
      <c r="A645" t="s">
        <v>42</v>
      </c>
      <c r="B645" t="s">
        <v>43</v>
      </c>
      <c r="C645" t="s">
        <v>31</v>
      </c>
      <c r="D645" t="s">
        <v>41</v>
      </c>
      <c r="E645" t="s">
        <v>19</v>
      </c>
      <c r="F645" t="s">
        <v>19</v>
      </c>
      <c r="G645" t="s">
        <v>19</v>
      </c>
      <c r="H645" t="s">
        <v>19</v>
      </c>
      <c r="I645" t="s">
        <v>19</v>
      </c>
      <c r="J645" t="s">
        <v>145</v>
      </c>
      <c r="K645" s="21" t="s">
        <v>607</v>
      </c>
      <c r="L645" s="5" t="s">
        <v>19</v>
      </c>
      <c r="M645" s="5" t="s">
        <v>19</v>
      </c>
      <c r="N645" s="5" t="s">
        <v>19</v>
      </c>
      <c r="O645" s="5" t="str">
        <f>HYPERLINK("http://www.lghausys.co.kr/popup/rn/download/downloadPopup.jsp?from=plwindow&amp;uu=/upload/window/REPORT/LGH-WA18-010.pdf","1등급")</f>
        <v>1등급</v>
      </c>
      <c r="P645" s="5" t="s">
        <v>19</v>
      </c>
      <c r="Q645" s="5" t="s">
        <v>19</v>
      </c>
      <c r="R645" s="5" t="s">
        <v>19</v>
      </c>
      <c r="S645" s="5" t="s">
        <v>19</v>
      </c>
      <c r="T645" s="5" t="s">
        <v>19</v>
      </c>
      <c r="U645" s="5" t="s">
        <v>19</v>
      </c>
      <c r="V645" s="5" t="s">
        <v>19</v>
      </c>
      <c r="W645" s="5" t="s">
        <v>152</v>
      </c>
      <c r="X645"/>
    </row>
    <row r="646" spans="1:24">
      <c r="A646" t="s">
        <v>125</v>
      </c>
      <c r="B646" t="s">
        <v>19</v>
      </c>
      <c r="C646" t="s">
        <v>31</v>
      </c>
      <c r="D646" t="s">
        <v>41</v>
      </c>
      <c r="E646" t="s">
        <v>19</v>
      </c>
      <c r="F646" t="s">
        <v>19</v>
      </c>
      <c r="G646" t="s">
        <v>19</v>
      </c>
      <c r="H646" t="s">
        <v>19</v>
      </c>
      <c r="I646" t="s">
        <v>19</v>
      </c>
      <c r="J646" t="s">
        <v>145</v>
      </c>
      <c r="K646" s="21" t="s">
        <v>607</v>
      </c>
      <c r="L646" s="5" t="s">
        <v>19</v>
      </c>
      <c r="M646" s="5" t="s">
        <v>19</v>
      </c>
      <c r="N646" s="5" t="s">
        <v>19</v>
      </c>
      <c r="O646" s="5" t="str">
        <f>HYPERLINK("http://www.lghausys.co.kr/popup/rn/download/downloadPopup.jsp?from=plwindow&amp;uu=/upload/window/REPORT/LGH-WA18-011.pdf","2등급")</f>
        <v>2등급</v>
      </c>
      <c r="P646" s="5" t="str">
        <f>HYPERLINK("http://www.lghausys.co.kr/popup/rn/download/downloadPopup.jsp?from=plwindow&amp;uu=/upload/window/REPORT/LGH-WA18-011.pdf","15등급")</f>
        <v>15등급</v>
      </c>
      <c r="Q646" s="5" t="str">
        <f>HYPERLINK("http://www.lghausys.co.kr/popup/rn/download/downloadPopup.jsp?from=plwindow&amp;uu=/upload/window/REPORT/LGH-WA18-011.pdf","240등급")</f>
        <v>240등급</v>
      </c>
      <c r="R646" s="5" t="s">
        <v>19</v>
      </c>
      <c r="S646" s="5" t="s">
        <v>19</v>
      </c>
      <c r="T646" s="5" t="s">
        <v>19</v>
      </c>
      <c r="U646" s="5" t="s">
        <v>19</v>
      </c>
      <c r="V646" s="5" t="s">
        <v>19</v>
      </c>
      <c r="W646" s="5" t="s">
        <v>152</v>
      </c>
      <c r="X646"/>
    </row>
    <row r="647" spans="1:24">
      <c r="A647" t="s">
        <v>78</v>
      </c>
      <c r="B647" t="s">
        <v>19</v>
      </c>
      <c r="C647" t="s">
        <v>31</v>
      </c>
      <c r="D647" t="s">
        <v>25</v>
      </c>
      <c r="E647" t="s">
        <v>147</v>
      </c>
      <c r="F647" t="s">
        <v>19</v>
      </c>
      <c r="G647" t="s">
        <v>19</v>
      </c>
      <c r="H647" t="s">
        <v>19</v>
      </c>
      <c r="I647" t="s">
        <v>19</v>
      </c>
      <c r="J647" t="s">
        <v>97</v>
      </c>
      <c r="K647" s="21" t="s">
        <v>607</v>
      </c>
      <c r="L647" s="5" t="s">
        <v>19</v>
      </c>
      <c r="M647" s="5" t="s">
        <v>19</v>
      </c>
      <c r="N647" s="5" t="s">
        <v>19</v>
      </c>
      <c r="O647" s="5" t="str">
        <f>HYPERLINK("http://www.lghausys.co.kr/popup/rn/download/downloadPopup.jsp?from=plwindow&amp;uu=/upload/window/REPORT/LGH-WA18-014.pdf","2등급")</f>
        <v>2등급</v>
      </c>
      <c r="P647" s="5" t="str">
        <f>HYPERLINK("http://www.lghausys.co.kr/popup/rn/download/downloadPopup.jsp?from=plwindow&amp;uu=/upload/window/REPORT/LGH-WA18-014.pdf","15등급")</f>
        <v>15등급</v>
      </c>
      <c r="Q647" s="5" t="str">
        <f>HYPERLINK("http://www.lghausys.co.kr/popup/rn/download/downloadPopup.jsp?from=plwindow&amp;uu=/upload/window/REPORT/LGH-WA18-014.pdf","240등급")</f>
        <v>240등급</v>
      </c>
      <c r="R647" s="5" t="s">
        <v>19</v>
      </c>
      <c r="S647" s="5" t="s">
        <v>19</v>
      </c>
      <c r="T647" s="5" t="s">
        <v>19</v>
      </c>
      <c r="U647" s="5" t="s">
        <v>19</v>
      </c>
      <c r="V647" s="5" t="s">
        <v>19</v>
      </c>
      <c r="W647" s="5" t="s">
        <v>152</v>
      </c>
      <c r="X647"/>
    </row>
    <row r="648" spans="1:24">
      <c r="A648" t="s">
        <v>27</v>
      </c>
      <c r="B648" t="s">
        <v>19</v>
      </c>
      <c r="C648" t="s">
        <v>31</v>
      </c>
      <c r="D648" t="s">
        <v>25</v>
      </c>
      <c r="E648" t="s">
        <v>147</v>
      </c>
      <c r="F648" t="s">
        <v>19</v>
      </c>
      <c r="G648" t="s">
        <v>19</v>
      </c>
      <c r="H648" t="s">
        <v>28</v>
      </c>
      <c r="I648" t="s">
        <v>19</v>
      </c>
      <c r="J648" t="s">
        <v>97</v>
      </c>
      <c r="K648" s="21" t="s">
        <v>607</v>
      </c>
      <c r="L648" s="5" t="s">
        <v>19</v>
      </c>
      <c r="M648" s="5" t="s">
        <v>19</v>
      </c>
      <c r="N648" s="5" t="s">
        <v>19</v>
      </c>
      <c r="O648" s="5" t="str">
        <f>HYPERLINK("http://www.lghausys.co.kr/popup/rn/download/downloadPopup.jsp?from=plwindow&amp;uu=/upload/window/REPORT/LGH-WA18-015.pdf","1등급")</f>
        <v>1등급</v>
      </c>
      <c r="P648" s="5" t="str">
        <f>HYPERLINK("http://www.lghausys.co.kr/popup/rn/download/downloadPopup.jsp?from=plwindow&amp;uu=/upload/window/REPORT/LGH-WA18-015.pdf","35등급")</f>
        <v>35등급</v>
      </c>
      <c r="Q648" s="5" t="str">
        <f>HYPERLINK("http://www.lghausys.co.kr/popup/rn/download/downloadPopup.jsp?from=plwindow&amp;uu=/upload/window/REPORT/LGH-WA18-015.pdf","400등급")</f>
        <v>400등급</v>
      </c>
      <c r="R648" s="5" t="s">
        <v>19</v>
      </c>
      <c r="S648" s="5" t="s">
        <v>19</v>
      </c>
      <c r="T648" s="5" t="s">
        <v>19</v>
      </c>
      <c r="U648" s="5" t="s">
        <v>19</v>
      </c>
      <c r="V648" s="5" t="s">
        <v>19</v>
      </c>
      <c r="W648" s="5" t="s">
        <v>152</v>
      </c>
      <c r="X648"/>
    </row>
    <row r="649" spans="1:24">
      <c r="A649" t="s">
        <v>19</v>
      </c>
      <c r="B649" t="s">
        <v>83</v>
      </c>
      <c r="C649" t="s">
        <v>31</v>
      </c>
      <c r="D649" t="s">
        <v>28</v>
      </c>
      <c r="E649" t="s">
        <v>19</v>
      </c>
      <c r="F649" t="s">
        <v>19</v>
      </c>
      <c r="G649" t="s">
        <v>19</v>
      </c>
      <c r="H649" t="s">
        <v>19</v>
      </c>
      <c r="I649" t="s">
        <v>19</v>
      </c>
      <c r="J649" t="s">
        <v>97</v>
      </c>
      <c r="K649" s="21" t="s">
        <v>607</v>
      </c>
      <c r="L649" s="5" t="s">
        <v>19</v>
      </c>
      <c r="M649" s="5" t="s">
        <v>19</v>
      </c>
      <c r="N649" s="5" t="s">
        <v>19</v>
      </c>
      <c r="O649" s="5" t="str">
        <f>HYPERLINK("http://www.lghausys.co.kr/popup/rn/download/downloadPopup.jsp?from=plwindow&amp;uu=/upload/window/REPORT/LGH-WA18-016.pdf","2등급")</f>
        <v>2등급</v>
      </c>
      <c r="P649" s="5" t="s">
        <v>19</v>
      </c>
      <c r="Q649" s="5" t="s">
        <v>19</v>
      </c>
      <c r="R649" s="5" t="s">
        <v>19</v>
      </c>
      <c r="S649" s="5" t="s">
        <v>19</v>
      </c>
      <c r="T649" s="5" t="s">
        <v>19</v>
      </c>
      <c r="U649" s="5" t="s">
        <v>19</v>
      </c>
      <c r="V649" s="5" t="s">
        <v>19</v>
      </c>
      <c r="W649" s="5" t="s">
        <v>152</v>
      </c>
      <c r="X649"/>
    </row>
    <row r="650" spans="1:24">
      <c r="A650" t="s">
        <v>52</v>
      </c>
      <c r="B650" t="s">
        <v>19</v>
      </c>
      <c r="C650" t="s">
        <v>20</v>
      </c>
      <c r="D650" t="s">
        <v>25</v>
      </c>
      <c r="E650" t="s">
        <v>19</v>
      </c>
      <c r="F650" t="s">
        <v>19</v>
      </c>
      <c r="G650" t="s">
        <v>19</v>
      </c>
      <c r="H650" t="s">
        <v>53</v>
      </c>
      <c r="I650" t="s">
        <v>19</v>
      </c>
      <c r="J650" t="s">
        <v>74</v>
      </c>
      <c r="K650" s="21" t="str">
        <f>IF(X650&lt;=0.9,HYPERLINK("http://www.lxhausys.co.kr/popup/rn/download/downloadPopup.jsp?from=plwindow&amp;uu=/upload/window/REPORT/LGH-TW18-001.pdf","1등급"),IF(X650&lt;=1.2,HYPERLINK("http://www.lxhausys.co.kr/popup/rn/download/downloadPopup.jsp?from=plwindow&amp;uu=/upload/window/REPORT/LGH-TW18-001.pdf","2등급"),IF(X650&lt;=1.8,HYPERLINK("http://www.lxhausys.co.kr/popup/rn/download/downloadPopup.jsp?from=plwindow&amp;uu=/upload/window/REPORT/LGH-TW18-001.pdf","3등급"),IF(X650&lt;=2.3,HYPERLINK("http://www.lxhausys.co.kr/popup/rn/download/downloadPopup.jsp?from=plwindow&amp;uu=/upload/window/REPORT/LGH-TW18-001.pdf","4등급"),IF(X650&lt;=2.8,HYPERLINK("http://www.lxhausys.co.kr/popup/rn/download/downloadPopup.jsp?from=plwindow&amp;uu=/upload/window/REPORT/LGH-TW18-001.pdf","5등급"),HYPERLINK("http://www.lxhausys.co.kr/popup/rn/download/downloadPopup.jsp?from=plwindow&amp;uu=/upload/window/REPORT/LGH-TW18-001.pdf","등급외"))))))</f>
        <v>2등급</v>
      </c>
      <c r="L650" s="5">
        <v>0.94010000000000005</v>
      </c>
      <c r="M650" s="5" t="s">
        <v>22</v>
      </c>
      <c r="N650" s="5" t="s">
        <v>607</v>
      </c>
      <c r="O650" s="5" t="s">
        <v>19</v>
      </c>
      <c r="P650" s="5" t="s">
        <v>19</v>
      </c>
      <c r="Q650" s="5" t="s">
        <v>19</v>
      </c>
      <c r="R650" s="5" t="s">
        <v>19</v>
      </c>
      <c r="S650" s="5" t="s">
        <v>19</v>
      </c>
      <c r="T650" s="5" t="s">
        <v>19</v>
      </c>
      <c r="U650" s="5" t="s">
        <v>19</v>
      </c>
      <c r="V650" s="5" t="s">
        <v>19</v>
      </c>
      <c r="W650" s="5" t="s">
        <v>19</v>
      </c>
      <c r="X650" s="19">
        <f t="shared" ref="X650:X662" si="3">L650</f>
        <v>0.94010000000000005</v>
      </c>
    </row>
    <row r="651" spans="1:24">
      <c r="A651" t="s">
        <v>52</v>
      </c>
      <c r="B651" t="s">
        <v>19</v>
      </c>
      <c r="C651" t="s">
        <v>20</v>
      </c>
      <c r="D651" t="s">
        <v>68</v>
      </c>
      <c r="E651" t="s">
        <v>19</v>
      </c>
      <c r="F651" t="s">
        <v>19</v>
      </c>
      <c r="G651" t="s">
        <v>19</v>
      </c>
      <c r="H651" t="s">
        <v>126</v>
      </c>
      <c r="I651" t="s">
        <v>19</v>
      </c>
      <c r="J651" t="s">
        <v>74</v>
      </c>
      <c r="K651" s="21" t="str">
        <f>IF(X651&lt;=0.9,HYPERLINK("http://www.lxhausys.co.kr/popup/rn/download/downloadPopup.jsp?from=plwindow&amp;uu=/upload/window/REPORT/LGH-TW18-002.pdf","1등급"),IF(X651&lt;=1.2,HYPERLINK("http://www.lxhausys.co.kr/popup/rn/download/downloadPopup.jsp?from=plwindow&amp;uu=/upload/window/REPORT/LGH-TW18-002.pdf","2등급"),IF(X651&lt;=1.8,HYPERLINK("http://www.lxhausys.co.kr/popup/rn/download/downloadPopup.jsp?from=plwindow&amp;uu=/upload/window/REPORT/LGH-TW18-002.pdf","3등급"),IF(X651&lt;=2.3,HYPERLINK("http://www.lxhausys.co.kr/popup/rn/download/downloadPopup.jsp?from=plwindow&amp;uu=/upload/window/REPORT/LGH-TW18-002.pdf","4등급"),IF(X651&lt;=2.8,HYPERLINK("http://www.lxhausys.co.kr/popup/rn/download/downloadPopup.jsp?from=plwindow&amp;uu=/upload/window/REPORT/LGH-TW18-002.pdf","5등급"),HYPERLINK("http://www.lxhausys.co.kr/popup/rn/download/downloadPopup.jsp?from=plwindow&amp;uu=/upload/window/REPORT/LGH-TW18-002.pdf","등급외"))))))</f>
        <v>1등급</v>
      </c>
      <c r="L651" s="5">
        <v>0.89570000000000005</v>
      </c>
      <c r="M651" s="5" t="s">
        <v>22</v>
      </c>
      <c r="N651" s="5" t="s">
        <v>607</v>
      </c>
      <c r="O651" s="5" t="s">
        <v>19</v>
      </c>
      <c r="P651" s="5" t="s">
        <v>19</v>
      </c>
      <c r="Q651" s="5" t="s">
        <v>19</v>
      </c>
      <c r="R651" s="5" t="s">
        <v>19</v>
      </c>
      <c r="S651" s="5" t="s">
        <v>19</v>
      </c>
      <c r="T651" s="5" t="s">
        <v>19</v>
      </c>
      <c r="U651" s="5" t="s">
        <v>19</v>
      </c>
      <c r="V651" s="5" t="s">
        <v>19</v>
      </c>
      <c r="W651" s="5" t="s">
        <v>19</v>
      </c>
      <c r="X651" s="19">
        <f t="shared" si="3"/>
        <v>0.89570000000000005</v>
      </c>
    </row>
    <row r="652" spans="1:24">
      <c r="A652" t="s">
        <v>175</v>
      </c>
      <c r="B652" t="s">
        <v>19</v>
      </c>
      <c r="C652" t="s">
        <v>20</v>
      </c>
      <c r="D652" t="s">
        <v>25</v>
      </c>
      <c r="E652" t="s">
        <v>19</v>
      </c>
      <c r="F652" t="s">
        <v>19</v>
      </c>
      <c r="G652" t="s">
        <v>19</v>
      </c>
      <c r="H652" t="s">
        <v>53</v>
      </c>
      <c r="I652" t="s">
        <v>19</v>
      </c>
      <c r="J652" t="s">
        <v>74</v>
      </c>
      <c r="K652" s="21" t="str">
        <f>IF(X652&lt;=0.9,HYPERLINK("http://www.lxhausys.co.kr/popup/rn/download/downloadPopup.jsp?from=plwindow&amp;uu=/upload/window/REPORT/LGH-TW18-003.pdf","1등급"),IF(X652&lt;=1.2,HYPERLINK("http://www.lxhausys.co.kr/popup/rn/download/downloadPopup.jsp?from=plwindow&amp;uu=/upload/window/REPORT/LGH-TW18-003.pdf","2등급"),IF(X652&lt;=1.8,HYPERLINK("http://www.lxhausys.co.kr/popup/rn/download/downloadPopup.jsp?from=plwindow&amp;uu=/upload/window/REPORT/LGH-TW18-003.pdf","3등급"),IF(X652&lt;=2.3,HYPERLINK("http://www.lxhausys.co.kr/popup/rn/download/downloadPopup.jsp?from=plwindow&amp;uu=/upload/window/REPORT/LGH-TW18-003.pdf","4등급"),IF(X652&lt;=2.8,HYPERLINK("http://www.lxhausys.co.kr/popup/rn/download/downloadPopup.jsp?from=plwindow&amp;uu=/upload/window/REPORT/LGH-TW18-003.pdf","5등급"),HYPERLINK("http://www.lxhausys.co.kr/popup/rn/download/downloadPopup.jsp?from=plwindow&amp;uu=/upload/window/REPORT/LGH-TW18-003.pdf","등급외"))))))</f>
        <v>2등급</v>
      </c>
      <c r="L652" s="5">
        <v>0.91759999999999997</v>
      </c>
      <c r="M652" s="5" t="s">
        <v>22</v>
      </c>
      <c r="N652" s="5" t="s">
        <v>607</v>
      </c>
      <c r="O652" s="5" t="s">
        <v>19</v>
      </c>
      <c r="P652" s="5" t="s">
        <v>19</v>
      </c>
      <c r="Q652" s="5" t="s">
        <v>19</v>
      </c>
      <c r="R652" s="5" t="s">
        <v>19</v>
      </c>
      <c r="S652" s="5" t="s">
        <v>19</v>
      </c>
      <c r="T652" s="5" t="s">
        <v>19</v>
      </c>
      <c r="U652" s="5" t="s">
        <v>19</v>
      </c>
      <c r="V652" s="5" t="s">
        <v>19</v>
      </c>
      <c r="W652" s="5" t="s">
        <v>19</v>
      </c>
      <c r="X652" s="19">
        <f t="shared" si="3"/>
        <v>0.91759999999999997</v>
      </c>
    </row>
    <row r="653" spans="1:24">
      <c r="A653" t="s">
        <v>52</v>
      </c>
      <c r="B653" t="s">
        <v>19</v>
      </c>
      <c r="C653" t="s">
        <v>20</v>
      </c>
      <c r="D653" t="s">
        <v>126</v>
      </c>
      <c r="E653" t="s">
        <v>19</v>
      </c>
      <c r="F653" t="s">
        <v>19</v>
      </c>
      <c r="G653" t="s">
        <v>19</v>
      </c>
      <c r="H653" t="s">
        <v>126</v>
      </c>
      <c r="I653" t="s">
        <v>19</v>
      </c>
      <c r="J653" t="s">
        <v>74</v>
      </c>
      <c r="K653" s="21" t="str">
        <f>IF(X653&lt;=0.9,HYPERLINK("http://www.lxhausys.co.kr/popup/rn/download/downloadPopup.jsp?from=plwindow&amp;uu=/upload/window/REPORT/LGH-TW18-006.pdf","1등급"),IF(X653&lt;=1.2,HYPERLINK("http://www.lxhausys.co.kr/popup/rn/download/downloadPopup.jsp?from=plwindow&amp;uu=/upload/window/REPORT/LGH-TW18-006.pdf","2등급"),IF(X653&lt;=1.8,HYPERLINK("http://www.lxhausys.co.kr/popup/rn/download/downloadPopup.jsp?from=plwindow&amp;uu=/upload/window/REPORT/LGH-TW18-006.pdf","3등급"),IF(X653&lt;=2.3,HYPERLINK("http://www.lxhausys.co.kr/popup/rn/download/downloadPopup.jsp?from=plwindow&amp;uu=/upload/window/REPORT/LGH-TW18-006.pdf","4등급"),IF(X653&lt;=2.8,HYPERLINK("http://www.lxhausys.co.kr/popup/rn/download/downloadPopup.jsp?from=plwindow&amp;uu=/upload/window/REPORT/LGH-TW18-006.pdf","5등급"),HYPERLINK("http://www.lxhausys.co.kr/popup/rn/download/downloadPopup.jsp?from=plwindow&amp;uu=/upload/window/REPORT/LGH-TW18-006.pdf","등급외"))))))</f>
        <v>1등급</v>
      </c>
      <c r="L653" s="5">
        <v>0.76339999999999997</v>
      </c>
      <c r="M653" s="5" t="s">
        <v>22</v>
      </c>
      <c r="N653" s="5" t="s">
        <v>607</v>
      </c>
      <c r="O653" s="5" t="s">
        <v>19</v>
      </c>
      <c r="P653" s="5" t="s">
        <v>19</v>
      </c>
      <c r="Q653" s="5" t="s">
        <v>19</v>
      </c>
      <c r="R653" s="5" t="s">
        <v>19</v>
      </c>
      <c r="S653" s="5" t="s">
        <v>19</v>
      </c>
      <c r="T653" s="5" t="s">
        <v>19</v>
      </c>
      <c r="U653" s="5" t="s">
        <v>19</v>
      </c>
      <c r="V653" s="5" t="s">
        <v>19</v>
      </c>
      <c r="W653" s="5" t="s">
        <v>19</v>
      </c>
      <c r="X653" s="19">
        <f t="shared" si="3"/>
        <v>0.76339999999999997</v>
      </c>
    </row>
    <row r="654" spans="1:24">
      <c r="A654" t="s">
        <v>52</v>
      </c>
      <c r="B654" t="s">
        <v>19</v>
      </c>
      <c r="C654" t="s">
        <v>20</v>
      </c>
      <c r="D654" t="s">
        <v>126</v>
      </c>
      <c r="E654" t="s">
        <v>19</v>
      </c>
      <c r="F654" t="s">
        <v>19</v>
      </c>
      <c r="G654" t="s">
        <v>19</v>
      </c>
      <c r="H654" t="s">
        <v>68</v>
      </c>
      <c r="I654" t="s">
        <v>19</v>
      </c>
      <c r="J654" t="s">
        <v>74</v>
      </c>
      <c r="K654" s="21" t="str">
        <f>IF(X654&lt;=0.9,HYPERLINK("http://www.lxhausys.co.kr/popup/rn/download/downloadPopup.jsp?from=plwindow&amp;uu=/upload/window/REPORT/LGH-TW18-007.pdf","1등급"),IF(X654&lt;=1.2,HYPERLINK("http://www.lxhausys.co.kr/popup/rn/download/downloadPopup.jsp?from=plwindow&amp;uu=/upload/window/REPORT/LGH-TW18-007.pdf","2등급"),IF(X654&lt;=1.8,HYPERLINK("http://www.lxhausys.co.kr/popup/rn/download/downloadPopup.jsp?from=plwindow&amp;uu=/upload/window/REPORT/LGH-TW18-007.pdf","3등급"),IF(X654&lt;=2.3,HYPERLINK("http://www.lxhausys.co.kr/popup/rn/download/downloadPopup.jsp?from=plwindow&amp;uu=/upload/window/REPORT/LGH-TW18-007.pdf","4등급"),IF(X654&lt;=2.8,HYPERLINK("http://www.lxhausys.co.kr/popup/rn/download/downloadPopup.jsp?from=plwindow&amp;uu=/upload/window/REPORT/LGH-TW18-007.pdf","5등급"),HYPERLINK("http://www.lxhausys.co.kr/popup/rn/download/downloadPopup.jsp?from=plwindow&amp;uu=/upload/window/REPORT/LGH-TW18-007.pdf","등급외"))))))</f>
        <v>2등급</v>
      </c>
      <c r="L654" s="5">
        <v>0.95469999999999999</v>
      </c>
      <c r="M654" s="5" t="s">
        <v>22</v>
      </c>
      <c r="N654" s="5" t="s">
        <v>607</v>
      </c>
      <c r="O654" s="5" t="s">
        <v>19</v>
      </c>
      <c r="P654" s="5" t="s">
        <v>19</v>
      </c>
      <c r="Q654" s="5" t="s">
        <v>19</v>
      </c>
      <c r="R654" s="5" t="s">
        <v>19</v>
      </c>
      <c r="S654" s="5" t="s">
        <v>19</v>
      </c>
      <c r="T654" s="5" t="s">
        <v>19</v>
      </c>
      <c r="U654" s="5" t="s">
        <v>19</v>
      </c>
      <c r="V654" s="5" t="s">
        <v>19</v>
      </c>
      <c r="W654" s="5" t="s">
        <v>19</v>
      </c>
      <c r="X654" s="19">
        <f t="shared" si="3"/>
        <v>0.95469999999999999</v>
      </c>
    </row>
    <row r="655" spans="1:24">
      <c r="A655" t="s">
        <v>52</v>
      </c>
      <c r="B655" t="s">
        <v>19</v>
      </c>
      <c r="C655" t="s">
        <v>20</v>
      </c>
      <c r="D655" t="s">
        <v>102</v>
      </c>
      <c r="E655" t="s">
        <v>19</v>
      </c>
      <c r="F655" t="s">
        <v>19</v>
      </c>
      <c r="G655" t="s">
        <v>19</v>
      </c>
      <c r="H655" t="s">
        <v>68</v>
      </c>
      <c r="I655" t="s">
        <v>19</v>
      </c>
      <c r="J655" t="s">
        <v>74</v>
      </c>
      <c r="K655" s="21" t="str">
        <f>IF(X655&lt;=0.9,HYPERLINK("http://www.lxhausys.co.kr/popup/rn/download/downloadPopup.jsp?from=plwindow&amp;uu=/upload/window/REPORT/LGH-TW18-008.pdf","1등급"),IF(X655&lt;=1.2,HYPERLINK("http://www.lxhausys.co.kr/popup/rn/download/downloadPopup.jsp?from=plwindow&amp;uu=/upload/window/REPORT/LGH-TW18-008.pdf","2등급"),IF(X655&lt;=1.8,HYPERLINK("http://www.lxhausys.co.kr/popup/rn/download/downloadPopup.jsp?from=plwindow&amp;uu=/upload/window/REPORT/LGH-TW18-008.pdf","3등급"),IF(X655&lt;=2.3,HYPERLINK("http://www.lxhausys.co.kr/popup/rn/download/downloadPopup.jsp?from=plwindow&amp;uu=/upload/window/REPORT/LGH-TW18-008.pdf","4등급"),IF(X655&lt;=2.8,HYPERLINK("http://www.lxhausys.co.kr/popup/rn/download/downloadPopup.jsp?from=plwindow&amp;uu=/upload/window/REPORT/LGH-TW18-008.pdf","5등급"),HYPERLINK("http://www.lxhausys.co.kr/popup/rn/download/downloadPopup.jsp?from=plwindow&amp;uu=/upload/window/REPORT/LGH-TW18-008.pdf","등급외"))))))</f>
        <v>2등급</v>
      </c>
      <c r="L655" s="5">
        <v>0.98540000000000005</v>
      </c>
      <c r="M655" s="5" t="s">
        <v>22</v>
      </c>
      <c r="N655" s="5" t="s">
        <v>607</v>
      </c>
      <c r="O655" s="5" t="s">
        <v>19</v>
      </c>
      <c r="P655" s="5" t="s">
        <v>19</v>
      </c>
      <c r="Q655" s="5" t="s">
        <v>19</v>
      </c>
      <c r="R655" s="5" t="s">
        <v>19</v>
      </c>
      <c r="S655" s="5" t="s">
        <v>19</v>
      </c>
      <c r="T655" s="5" t="s">
        <v>19</v>
      </c>
      <c r="U655" s="5" t="s">
        <v>19</v>
      </c>
      <c r="V655" s="5" t="s">
        <v>19</v>
      </c>
      <c r="W655" s="5" t="s">
        <v>19</v>
      </c>
      <c r="X655" s="19">
        <f t="shared" si="3"/>
        <v>0.98540000000000005</v>
      </c>
    </row>
    <row r="656" spans="1:24">
      <c r="A656" t="s">
        <v>52</v>
      </c>
      <c r="B656" t="s">
        <v>19</v>
      </c>
      <c r="C656" t="s">
        <v>20</v>
      </c>
      <c r="D656" t="s">
        <v>68</v>
      </c>
      <c r="E656" t="s">
        <v>19</v>
      </c>
      <c r="F656" t="s">
        <v>19</v>
      </c>
      <c r="G656" t="s">
        <v>19</v>
      </c>
      <c r="H656" t="s">
        <v>102</v>
      </c>
      <c r="I656" t="s">
        <v>19</v>
      </c>
      <c r="J656" t="s">
        <v>74</v>
      </c>
      <c r="K656" s="21" t="str">
        <f>IF(X656&lt;=0.9,HYPERLINK("http://www.lxhausys.co.kr/popup/rn/download/downloadPopup.jsp?from=plwindow&amp;uu=/upload/window/REPORT/LGH-TW18-009.pdf","1등급"),IF(X656&lt;=1.2,HYPERLINK("http://www.lxhausys.co.kr/popup/rn/download/downloadPopup.jsp?from=plwindow&amp;uu=/upload/window/REPORT/LGH-TW18-009.pdf","2등급"),IF(X656&lt;=1.8,HYPERLINK("http://www.lxhausys.co.kr/popup/rn/download/downloadPopup.jsp?from=plwindow&amp;uu=/upload/window/REPORT/LGH-TW18-009.pdf","3등급"),IF(X656&lt;=2.3,HYPERLINK("http://www.lxhausys.co.kr/popup/rn/download/downloadPopup.jsp?from=plwindow&amp;uu=/upload/window/REPORT/LGH-TW18-009.pdf","4등급"),IF(X656&lt;=2.8,HYPERLINK("http://www.lxhausys.co.kr/popup/rn/download/downloadPopup.jsp?from=plwindow&amp;uu=/upload/window/REPORT/LGH-TW18-009.pdf","5등급"),HYPERLINK("http://www.lxhausys.co.kr/popup/rn/download/downloadPopup.jsp?from=plwindow&amp;uu=/upload/window/REPORT/LGH-TW18-009.pdf","등급외"))))))</f>
        <v>2등급</v>
      </c>
      <c r="L656" s="5">
        <v>0.94489999999999996</v>
      </c>
      <c r="M656" s="5" t="s">
        <v>22</v>
      </c>
      <c r="N656" s="5" t="s">
        <v>607</v>
      </c>
      <c r="O656" s="5" t="s">
        <v>19</v>
      </c>
      <c r="P656" s="5" t="s">
        <v>19</v>
      </c>
      <c r="Q656" s="5" t="s">
        <v>19</v>
      </c>
      <c r="R656" s="5" t="s">
        <v>19</v>
      </c>
      <c r="S656" s="5" t="s">
        <v>19</v>
      </c>
      <c r="T656" s="5" t="s">
        <v>19</v>
      </c>
      <c r="U656" s="5" t="s">
        <v>19</v>
      </c>
      <c r="V656" s="5" t="s">
        <v>19</v>
      </c>
      <c r="W656" s="5" t="s">
        <v>19</v>
      </c>
      <c r="X656" s="19">
        <f t="shared" si="3"/>
        <v>0.94489999999999996</v>
      </c>
    </row>
    <row r="657" spans="1:24">
      <c r="A657" t="s">
        <v>92</v>
      </c>
      <c r="B657" t="s">
        <v>19</v>
      </c>
      <c r="C657" t="s">
        <v>20</v>
      </c>
      <c r="D657" t="s">
        <v>25</v>
      </c>
      <c r="E657" t="s">
        <v>19</v>
      </c>
      <c r="F657" t="s">
        <v>19</v>
      </c>
      <c r="G657" t="s">
        <v>19</v>
      </c>
      <c r="H657" t="s">
        <v>19</v>
      </c>
      <c r="I657" t="s">
        <v>19</v>
      </c>
      <c r="J657" t="s">
        <v>74</v>
      </c>
      <c r="K657" s="21" t="str">
        <f>IF(X657&lt;=0.9,HYPERLINK("http://www.lxhausys.co.kr/popup/rn/download/downloadPopup.jsp?from=plwindow&amp;uu=/upload/window/REPORT/LGH-TW18-011.pdf","1등급"),IF(X657&lt;=1.2,HYPERLINK("http://www.lxhausys.co.kr/popup/rn/download/downloadPopup.jsp?from=plwindow&amp;uu=/upload/window/REPORT/LGH-TW18-011.pdf","2등급"),IF(X657&lt;=1.8,HYPERLINK("http://www.lxhausys.co.kr/popup/rn/download/downloadPopup.jsp?from=plwindow&amp;uu=/upload/window/REPORT/LGH-TW18-011.pdf","3등급"),IF(X657&lt;=2.3,HYPERLINK("http://www.lxhausys.co.kr/popup/rn/download/downloadPopup.jsp?from=plwindow&amp;uu=/upload/window/REPORT/LGH-TW18-011.pdf","4등급"),IF(X657&lt;=2.8,HYPERLINK("http://www.lxhausys.co.kr/popup/rn/download/downloadPopup.jsp?from=plwindow&amp;uu=/upload/window/REPORT/LGH-TW18-011.pdf","5등급"),HYPERLINK("http://www.lxhausys.co.kr/popup/rn/download/downloadPopup.jsp?from=plwindow&amp;uu=/upload/window/REPORT/LGH-TW18-011.pdf","등급외"))))))</f>
        <v>등급외</v>
      </c>
      <c r="L657" s="5">
        <v>2.9018999999999999</v>
      </c>
      <c r="M657" s="5" t="s">
        <v>103</v>
      </c>
      <c r="N657" s="5" t="s">
        <v>607</v>
      </c>
      <c r="O657" s="5" t="s">
        <v>19</v>
      </c>
      <c r="P657" s="5" t="s">
        <v>19</v>
      </c>
      <c r="Q657" s="5" t="s">
        <v>19</v>
      </c>
      <c r="R657" s="5" t="s">
        <v>19</v>
      </c>
      <c r="S657" s="5" t="s">
        <v>19</v>
      </c>
      <c r="T657" s="5" t="s">
        <v>19</v>
      </c>
      <c r="U657" s="5" t="s">
        <v>19</v>
      </c>
      <c r="V657" s="5" t="s">
        <v>19</v>
      </c>
      <c r="W657" s="5" t="s">
        <v>19</v>
      </c>
      <c r="X657" s="19">
        <f t="shared" si="3"/>
        <v>2.9018999999999999</v>
      </c>
    </row>
    <row r="658" spans="1:24">
      <c r="A658" t="s">
        <v>92</v>
      </c>
      <c r="B658" t="s">
        <v>19</v>
      </c>
      <c r="C658" t="s">
        <v>20</v>
      </c>
      <c r="D658" t="s">
        <v>64</v>
      </c>
      <c r="E658" t="s">
        <v>19</v>
      </c>
      <c r="F658" t="s">
        <v>19</v>
      </c>
      <c r="G658" t="s">
        <v>19</v>
      </c>
      <c r="H658" t="s">
        <v>19</v>
      </c>
      <c r="I658" t="s">
        <v>19</v>
      </c>
      <c r="J658" t="s">
        <v>74</v>
      </c>
      <c r="K658" s="21" t="str">
        <f>IF(X658&lt;=0.9,HYPERLINK("http://www.lxhausys.co.kr/popup/rn/download/downloadPopup.jsp?from=plwindow&amp;uu=/upload/window/REPORT/LGH-TW18-012.pdf","1등급"),IF(X658&lt;=1.2,HYPERLINK("http://www.lxhausys.co.kr/popup/rn/download/downloadPopup.jsp?from=plwindow&amp;uu=/upload/window/REPORT/LGH-TW18-012.pdf","2등급"),IF(X658&lt;=1.8,HYPERLINK("http://www.lxhausys.co.kr/popup/rn/download/downloadPopup.jsp?from=plwindow&amp;uu=/upload/window/REPORT/LGH-TW18-012.pdf","3등급"),IF(X658&lt;=2.3,HYPERLINK("http://www.lxhausys.co.kr/popup/rn/download/downloadPopup.jsp?from=plwindow&amp;uu=/upload/window/REPORT/LGH-TW18-012.pdf","4등급"),IF(X658&lt;=2.8,HYPERLINK("http://www.lxhausys.co.kr/popup/rn/download/downloadPopup.jsp?from=plwindow&amp;uu=/upload/window/REPORT/LGH-TW18-012.pdf","5등급"),HYPERLINK("http://www.lxhausys.co.kr/popup/rn/download/downloadPopup.jsp?from=plwindow&amp;uu=/upload/window/REPORT/LGH-TW18-012.pdf","등급외"))))))</f>
        <v>4등급</v>
      </c>
      <c r="L658" s="5">
        <v>2.0756000000000001</v>
      </c>
      <c r="M658" s="5" t="s">
        <v>103</v>
      </c>
      <c r="N658" s="5" t="s">
        <v>607</v>
      </c>
      <c r="O658" s="5" t="s">
        <v>19</v>
      </c>
      <c r="P658" s="5" t="s">
        <v>19</v>
      </c>
      <c r="Q658" s="5" t="s">
        <v>19</v>
      </c>
      <c r="R658" s="5" t="s">
        <v>19</v>
      </c>
      <c r="S658" s="5" t="s">
        <v>19</v>
      </c>
      <c r="T658" s="5" t="s">
        <v>19</v>
      </c>
      <c r="U658" s="5" t="s">
        <v>19</v>
      </c>
      <c r="V658" s="5" t="s">
        <v>19</v>
      </c>
      <c r="W658" s="5" t="s">
        <v>19</v>
      </c>
      <c r="X658" s="19">
        <f t="shared" si="3"/>
        <v>2.0756000000000001</v>
      </c>
    </row>
    <row r="659" spans="1:24">
      <c r="A659" t="s">
        <v>92</v>
      </c>
      <c r="B659" t="s">
        <v>19</v>
      </c>
      <c r="C659" t="s">
        <v>20</v>
      </c>
      <c r="D659" t="s">
        <v>53</v>
      </c>
      <c r="E659" t="s">
        <v>19</v>
      </c>
      <c r="F659" t="s">
        <v>19</v>
      </c>
      <c r="G659" t="s">
        <v>19</v>
      </c>
      <c r="H659" t="s">
        <v>19</v>
      </c>
      <c r="I659" t="s">
        <v>19</v>
      </c>
      <c r="J659" t="s">
        <v>74</v>
      </c>
      <c r="K659" s="21" t="str">
        <f>IF(X659&lt;=0.9,HYPERLINK("http://www.lxhausys.co.kr/popup/rn/download/downloadPopup.jsp?from=plwindow&amp;uu=/upload/window/REPORT/LGH-TW18-013.pdf","1등급"),IF(X659&lt;=1.2,HYPERLINK("http://www.lxhausys.co.kr/popup/rn/download/downloadPopup.jsp?from=plwindow&amp;uu=/upload/window/REPORT/LGH-TW18-013.pdf","2등급"),IF(X659&lt;=1.8,HYPERLINK("http://www.lxhausys.co.kr/popup/rn/download/downloadPopup.jsp?from=plwindow&amp;uu=/upload/window/REPORT/LGH-TW18-013.pdf","3등급"),IF(X659&lt;=2.3,HYPERLINK("http://www.lxhausys.co.kr/popup/rn/download/downloadPopup.jsp?from=plwindow&amp;uu=/upload/window/REPORT/LGH-TW18-013.pdf","4등급"),IF(X659&lt;=2.8,HYPERLINK("http://www.lxhausys.co.kr/popup/rn/download/downloadPopup.jsp?from=plwindow&amp;uu=/upload/window/REPORT/LGH-TW18-013.pdf","5등급"),HYPERLINK("http://www.lxhausys.co.kr/popup/rn/download/downloadPopup.jsp?from=plwindow&amp;uu=/upload/window/REPORT/LGH-TW18-013.pdf","등급외"))))))</f>
        <v>4등급</v>
      </c>
      <c r="L659" s="5">
        <v>1.9455</v>
      </c>
      <c r="M659" s="5" t="s">
        <v>103</v>
      </c>
      <c r="N659" s="5" t="s">
        <v>607</v>
      </c>
      <c r="O659" s="5" t="s">
        <v>19</v>
      </c>
      <c r="P659" s="5" t="s">
        <v>19</v>
      </c>
      <c r="Q659" s="5" t="s">
        <v>19</v>
      </c>
      <c r="R659" s="5" t="s">
        <v>19</v>
      </c>
      <c r="S659" s="5" t="s">
        <v>19</v>
      </c>
      <c r="T659" s="5" t="s">
        <v>19</v>
      </c>
      <c r="U659" s="5" t="s">
        <v>19</v>
      </c>
      <c r="V659" s="5" t="s">
        <v>19</v>
      </c>
      <c r="W659" s="5" t="s">
        <v>19</v>
      </c>
      <c r="X659" s="19">
        <f t="shared" si="3"/>
        <v>1.9455</v>
      </c>
    </row>
    <row r="660" spans="1:24">
      <c r="A660" t="s">
        <v>92</v>
      </c>
      <c r="B660" t="s">
        <v>19</v>
      </c>
      <c r="C660" t="s">
        <v>20</v>
      </c>
      <c r="D660" t="s">
        <v>68</v>
      </c>
      <c r="E660" t="s">
        <v>19</v>
      </c>
      <c r="F660" t="s">
        <v>19</v>
      </c>
      <c r="G660" t="s">
        <v>19</v>
      </c>
      <c r="H660" t="s">
        <v>19</v>
      </c>
      <c r="I660" t="s">
        <v>19</v>
      </c>
      <c r="J660" t="s">
        <v>74</v>
      </c>
      <c r="K660" s="21" t="str">
        <f>IF(X660&lt;=0.9,HYPERLINK("http://www.lxhausys.co.kr/popup/rn/download/downloadPopup.jsp?from=plwindow&amp;uu=/upload/window/REPORT/LGH-TW18-014.pdf","1등급"),IF(X660&lt;=1.2,HYPERLINK("http://www.lxhausys.co.kr/popup/rn/download/downloadPopup.jsp?from=plwindow&amp;uu=/upload/window/REPORT/LGH-TW18-014.pdf","2등급"),IF(X660&lt;=1.8,HYPERLINK("http://www.lxhausys.co.kr/popup/rn/download/downloadPopup.jsp?from=plwindow&amp;uu=/upload/window/REPORT/LGH-TW18-014.pdf","3등급"),IF(X660&lt;=2.3,HYPERLINK("http://www.lxhausys.co.kr/popup/rn/download/downloadPopup.jsp?from=plwindow&amp;uu=/upload/window/REPORT/LGH-TW18-014.pdf","4등급"),IF(X660&lt;=2.8,HYPERLINK("http://www.lxhausys.co.kr/popup/rn/download/downloadPopup.jsp?from=plwindow&amp;uu=/upload/window/REPORT/LGH-TW18-014.pdf","5등급"),HYPERLINK("http://www.lxhausys.co.kr/popup/rn/download/downloadPopup.jsp?from=plwindow&amp;uu=/upload/window/REPORT/LGH-TW18-014.pdf","등급외"))))))</f>
        <v>등급외</v>
      </c>
      <c r="L660" s="5">
        <v>2.8645</v>
      </c>
      <c r="M660" s="5" t="s">
        <v>103</v>
      </c>
      <c r="N660" s="5" t="s">
        <v>607</v>
      </c>
      <c r="O660" s="5" t="s">
        <v>19</v>
      </c>
      <c r="P660" s="5" t="s">
        <v>19</v>
      </c>
      <c r="Q660" s="5" t="s">
        <v>19</v>
      </c>
      <c r="R660" s="5" t="s">
        <v>19</v>
      </c>
      <c r="S660" s="5" t="s">
        <v>19</v>
      </c>
      <c r="T660" s="5" t="s">
        <v>19</v>
      </c>
      <c r="U660" s="5" t="s">
        <v>19</v>
      </c>
      <c r="V660" s="5" t="s">
        <v>19</v>
      </c>
      <c r="W660" s="5" t="s">
        <v>19</v>
      </c>
      <c r="X660" s="19">
        <f t="shared" si="3"/>
        <v>2.8645</v>
      </c>
    </row>
    <row r="661" spans="1:24">
      <c r="A661" t="s">
        <v>92</v>
      </c>
      <c r="B661" t="s">
        <v>19</v>
      </c>
      <c r="C661" t="s">
        <v>20</v>
      </c>
      <c r="D661" t="s">
        <v>102</v>
      </c>
      <c r="E661" t="s">
        <v>19</v>
      </c>
      <c r="F661" t="s">
        <v>19</v>
      </c>
      <c r="G661" t="s">
        <v>19</v>
      </c>
      <c r="H661" t="s">
        <v>19</v>
      </c>
      <c r="I661" t="s">
        <v>19</v>
      </c>
      <c r="J661" t="s">
        <v>74</v>
      </c>
      <c r="K661" s="21" t="str">
        <f>IF(X661&lt;=0.9,HYPERLINK("http://www.lxhausys.co.kr/popup/rn/download/downloadPopup.jsp?from=plwindow&amp;uu=/upload/window/REPORT/LGH-TW18-015.pdf","1등급"),IF(X661&lt;=1.2,HYPERLINK("http://www.lxhausys.co.kr/popup/rn/download/downloadPopup.jsp?from=plwindow&amp;uu=/upload/window/REPORT/LGH-TW18-015.pdf","2등급"),IF(X661&lt;=1.8,HYPERLINK("http://www.lxhausys.co.kr/popup/rn/download/downloadPopup.jsp?from=plwindow&amp;uu=/upload/window/REPORT/LGH-TW18-015.pdf","3등급"),IF(X661&lt;=2.3,HYPERLINK("http://www.lxhausys.co.kr/popup/rn/download/downloadPopup.jsp?from=plwindow&amp;uu=/upload/window/REPORT/LGH-TW18-015.pdf","4등급"),IF(X661&lt;=2.8,HYPERLINK("http://www.lxhausys.co.kr/popup/rn/download/downloadPopup.jsp?from=plwindow&amp;uu=/upload/window/REPORT/LGH-TW18-015.pdf","5등급"),HYPERLINK("http://www.lxhausys.co.kr/popup/rn/download/downloadPopup.jsp?from=plwindow&amp;uu=/upload/window/REPORT/LGH-TW18-015.pdf","등급외"))))))</f>
        <v>4등급</v>
      </c>
      <c r="L661" s="5">
        <v>2.0674000000000001</v>
      </c>
      <c r="M661" s="5" t="s">
        <v>103</v>
      </c>
      <c r="N661" s="5" t="s">
        <v>607</v>
      </c>
      <c r="O661" s="5" t="s">
        <v>19</v>
      </c>
      <c r="P661" s="5" t="s">
        <v>19</v>
      </c>
      <c r="Q661" s="5" t="s">
        <v>19</v>
      </c>
      <c r="R661" s="5" t="s">
        <v>19</v>
      </c>
      <c r="S661" s="5" t="s">
        <v>19</v>
      </c>
      <c r="T661" s="5" t="s">
        <v>19</v>
      </c>
      <c r="U661" s="5" t="s">
        <v>19</v>
      </c>
      <c r="V661" s="5" t="s">
        <v>19</v>
      </c>
      <c r="W661" s="5" t="s">
        <v>19</v>
      </c>
      <c r="X661" s="19">
        <f t="shared" si="3"/>
        <v>2.0674000000000001</v>
      </c>
    </row>
    <row r="662" spans="1:24">
      <c r="A662" t="s">
        <v>92</v>
      </c>
      <c r="B662" t="s">
        <v>19</v>
      </c>
      <c r="C662" t="s">
        <v>20</v>
      </c>
      <c r="D662" t="s">
        <v>126</v>
      </c>
      <c r="E662" t="s">
        <v>19</v>
      </c>
      <c r="F662" t="s">
        <v>19</v>
      </c>
      <c r="G662" t="s">
        <v>19</v>
      </c>
      <c r="H662" t="s">
        <v>19</v>
      </c>
      <c r="I662" t="s">
        <v>19</v>
      </c>
      <c r="J662" t="s">
        <v>74</v>
      </c>
      <c r="K662" s="21" t="str">
        <f>IF(X662&lt;=0.9,HYPERLINK("http://www.lxhausys.co.kr/popup/rn/download/downloadPopup.jsp?from=plwindow&amp;uu=/upload/window/REPORT/LGH-TW18-016.pdf","1등급"),IF(X662&lt;=1.2,HYPERLINK("http://www.lxhausys.co.kr/popup/rn/download/downloadPopup.jsp?from=plwindow&amp;uu=/upload/window/REPORT/LGH-TW18-016.pdf","2등급"),IF(X662&lt;=1.8,HYPERLINK("http://www.lxhausys.co.kr/popup/rn/download/downloadPopup.jsp?from=plwindow&amp;uu=/upload/window/REPORT/LGH-TW18-016.pdf","3등급"),IF(X662&lt;=2.3,HYPERLINK("http://www.lxhausys.co.kr/popup/rn/download/downloadPopup.jsp?from=plwindow&amp;uu=/upload/window/REPORT/LGH-TW18-016.pdf","4등급"),IF(X662&lt;=2.8,HYPERLINK("http://www.lxhausys.co.kr/popup/rn/download/downloadPopup.jsp?from=plwindow&amp;uu=/upload/window/REPORT/LGH-TW18-016.pdf","5등급"),HYPERLINK("http://www.lxhausys.co.kr/popup/rn/download/downloadPopup.jsp?from=plwindow&amp;uu=/upload/window/REPORT/LGH-TW18-016.pdf","등급외"))))))</f>
        <v>3등급</v>
      </c>
      <c r="L662" s="5">
        <v>1.7391000000000001</v>
      </c>
      <c r="M662" s="5" t="s">
        <v>103</v>
      </c>
      <c r="N662" s="5" t="s">
        <v>607</v>
      </c>
      <c r="O662" s="5" t="s">
        <v>19</v>
      </c>
      <c r="P662" s="5" t="s">
        <v>19</v>
      </c>
      <c r="Q662" s="5" t="s">
        <v>19</v>
      </c>
      <c r="R662" s="5" t="s">
        <v>19</v>
      </c>
      <c r="S662" s="5" t="s">
        <v>19</v>
      </c>
      <c r="T662" s="5" t="s">
        <v>19</v>
      </c>
      <c r="U662" s="5" t="s">
        <v>19</v>
      </c>
      <c r="V662" s="5" t="s">
        <v>19</v>
      </c>
      <c r="W662" s="5" t="s">
        <v>19</v>
      </c>
      <c r="X662" s="19">
        <f t="shared" si="3"/>
        <v>1.7391000000000001</v>
      </c>
    </row>
    <row r="663" spans="1:24">
      <c r="A663" t="s">
        <v>442</v>
      </c>
      <c r="B663" t="s">
        <v>197</v>
      </c>
      <c r="C663" t="s">
        <v>31</v>
      </c>
      <c r="D663" t="s">
        <v>198</v>
      </c>
      <c r="E663" t="s">
        <v>19</v>
      </c>
      <c r="F663" t="s">
        <v>19</v>
      </c>
      <c r="G663" t="s">
        <v>19</v>
      </c>
      <c r="H663" t="s">
        <v>19</v>
      </c>
      <c r="I663" t="s">
        <v>19</v>
      </c>
      <c r="J663" t="s">
        <v>97</v>
      </c>
      <c r="K663" s="21" t="s">
        <v>607</v>
      </c>
      <c r="L663" s="5" t="s">
        <v>19</v>
      </c>
      <c r="M663" s="5" t="s">
        <v>19</v>
      </c>
      <c r="N663" s="5" t="s">
        <v>19</v>
      </c>
      <c r="O663" s="5" t="str">
        <f>HYPERLINK("http://www.lghausys.co.kr/popup/rn/download/downloadPopup.jsp?from=plwindow&amp;uu=/upload/window/REPORT/LGH-WA18-021.pdf","1등급")</f>
        <v>1등급</v>
      </c>
      <c r="P663" s="5" t="s">
        <v>19</v>
      </c>
      <c r="Q663" s="5" t="s">
        <v>19</v>
      </c>
      <c r="R663" s="5" t="s">
        <v>19</v>
      </c>
      <c r="S663" s="5" t="s">
        <v>19</v>
      </c>
      <c r="T663" s="5" t="s">
        <v>19</v>
      </c>
      <c r="U663" s="5" t="s">
        <v>19</v>
      </c>
      <c r="V663" s="5" t="s">
        <v>19</v>
      </c>
      <c r="W663" s="5" t="s">
        <v>152</v>
      </c>
      <c r="X663"/>
    </row>
    <row r="664" spans="1:24">
      <c r="A664" t="s">
        <v>442</v>
      </c>
      <c r="B664" t="s">
        <v>197</v>
      </c>
      <c r="C664" t="s">
        <v>31</v>
      </c>
      <c r="D664" t="s">
        <v>126</v>
      </c>
      <c r="E664" t="s">
        <v>19</v>
      </c>
      <c r="F664" t="s">
        <v>19</v>
      </c>
      <c r="G664" t="s">
        <v>19</v>
      </c>
      <c r="H664" t="s">
        <v>19</v>
      </c>
      <c r="I664" t="s">
        <v>19</v>
      </c>
      <c r="J664" t="s">
        <v>97</v>
      </c>
      <c r="K664" s="21" t="s">
        <v>607</v>
      </c>
      <c r="L664" s="5" t="s">
        <v>19</v>
      </c>
      <c r="M664" s="5" t="s">
        <v>19</v>
      </c>
      <c r="N664" s="5" t="s">
        <v>19</v>
      </c>
      <c r="O664" s="5" t="str">
        <f>HYPERLINK("http://www.lghausys.co.kr/popup/rn/download/downloadPopup.jsp?from=plwindow&amp;uu=/upload/window/REPORT/LGH-WA18-022.pdf","1등급")</f>
        <v>1등급</v>
      </c>
      <c r="P664" s="5" t="s">
        <v>19</v>
      </c>
      <c r="Q664" s="5" t="s">
        <v>19</v>
      </c>
      <c r="R664" s="5" t="s">
        <v>19</v>
      </c>
      <c r="S664" s="5" t="s">
        <v>19</v>
      </c>
      <c r="T664" s="5" t="s">
        <v>19</v>
      </c>
      <c r="U664" s="5" t="s">
        <v>19</v>
      </c>
      <c r="V664" s="5" t="s">
        <v>19</v>
      </c>
      <c r="W664" s="5" t="s">
        <v>152</v>
      </c>
      <c r="X664"/>
    </row>
    <row r="665" spans="1:24">
      <c r="A665" t="s">
        <v>125</v>
      </c>
      <c r="B665" t="s">
        <v>19</v>
      </c>
      <c r="C665" t="s">
        <v>34</v>
      </c>
      <c r="D665" t="s">
        <v>28</v>
      </c>
      <c r="E665" t="s">
        <v>19</v>
      </c>
      <c r="F665" t="s">
        <v>19</v>
      </c>
      <c r="G665" t="s">
        <v>19</v>
      </c>
      <c r="H665" t="s">
        <v>19</v>
      </c>
      <c r="I665" t="s">
        <v>19</v>
      </c>
      <c r="J665" t="s">
        <v>74</v>
      </c>
      <c r="K665" s="21" t="s">
        <v>607</v>
      </c>
      <c r="L665" s="5" t="s">
        <v>19</v>
      </c>
      <c r="M665" s="5" t="s">
        <v>19</v>
      </c>
      <c r="N665" s="5" t="str">
        <f>HYPERLINK("http://www.lghausys.co.kr/popup/rn/download/downloadPopup.jsp?from=plwindow&amp;uu=/upload/window/REPORT/LGH-TA18-017.pdf","2.3116")</f>
        <v>2.3116</v>
      </c>
      <c r="O665" s="5" t="s">
        <v>19</v>
      </c>
      <c r="P665" s="5" t="s">
        <v>19</v>
      </c>
      <c r="Q665" s="5" t="s">
        <v>19</v>
      </c>
      <c r="R665" s="5" t="s">
        <v>19</v>
      </c>
      <c r="S665" s="5" t="s">
        <v>19</v>
      </c>
      <c r="T665" s="5" t="s">
        <v>19</v>
      </c>
      <c r="U665" s="5" t="s">
        <v>19</v>
      </c>
      <c r="V665" s="5" t="s">
        <v>19</v>
      </c>
      <c r="W665" s="5" t="s">
        <v>75</v>
      </c>
      <c r="X665"/>
    </row>
    <row r="666" spans="1:24">
      <c r="A666" t="s">
        <v>125</v>
      </c>
      <c r="B666" t="s">
        <v>19</v>
      </c>
      <c r="C666" t="s">
        <v>34</v>
      </c>
      <c r="D666" t="s">
        <v>25</v>
      </c>
      <c r="E666" t="s">
        <v>19</v>
      </c>
      <c r="F666" t="s">
        <v>19</v>
      </c>
      <c r="G666" t="s">
        <v>19</v>
      </c>
      <c r="H666" t="s">
        <v>19</v>
      </c>
      <c r="I666" t="s">
        <v>19</v>
      </c>
      <c r="J666" t="s">
        <v>97</v>
      </c>
      <c r="K666" s="21" t="s">
        <v>607</v>
      </c>
      <c r="L666" s="5" t="s">
        <v>19</v>
      </c>
      <c r="M666" s="5" t="s">
        <v>19</v>
      </c>
      <c r="N666" s="5" t="str">
        <f>HYPERLINK("http://www.lghausys.co.kr/popup/rn/download/downloadPopup.jsp?from=plwindow&amp;uu=/upload/window/REPORT/LGH-TA18-041.pdf","3.1807")</f>
        <v>3.1807</v>
      </c>
      <c r="O666" s="5" t="s">
        <v>19</v>
      </c>
      <c r="P666" s="5" t="s">
        <v>19</v>
      </c>
      <c r="Q666" s="5" t="s">
        <v>19</v>
      </c>
      <c r="R666" s="5" t="s">
        <v>19</v>
      </c>
      <c r="S666" s="5" t="s">
        <v>19</v>
      </c>
      <c r="T666" s="5" t="s">
        <v>19</v>
      </c>
      <c r="U666" s="5" t="s">
        <v>19</v>
      </c>
      <c r="V666" s="5" t="s">
        <v>19</v>
      </c>
      <c r="W666" s="5" t="s">
        <v>75</v>
      </c>
      <c r="X666"/>
    </row>
    <row r="667" spans="1:24">
      <c r="A667" t="s">
        <v>27</v>
      </c>
      <c r="B667" t="s">
        <v>19</v>
      </c>
      <c r="C667" t="s">
        <v>31</v>
      </c>
      <c r="D667" t="s">
        <v>28</v>
      </c>
      <c r="E667" t="s">
        <v>67</v>
      </c>
      <c r="F667" t="s">
        <v>19</v>
      </c>
      <c r="G667" t="s">
        <v>19</v>
      </c>
      <c r="H667" t="s">
        <v>25</v>
      </c>
      <c r="I667" t="s">
        <v>19</v>
      </c>
      <c r="J667" t="s">
        <v>19</v>
      </c>
      <c r="K667" s="21" t="s">
        <v>607</v>
      </c>
      <c r="L667" s="5" t="s">
        <v>19</v>
      </c>
      <c r="M667" s="5" t="s">
        <v>19</v>
      </c>
      <c r="N667" s="5" t="s">
        <v>19</v>
      </c>
      <c r="O667" s="5" t="str">
        <f>HYPERLINK("http://www.lghausys.co.kr/popup/rn/download/downloadPopup.jsp?from=plwindow&amp;uu=/upload/window/REPORT/KICT-R-K-2017-01403-1-3.pdf","1등급")</f>
        <v>1등급</v>
      </c>
      <c r="P667" s="5" t="str">
        <f>HYPERLINK("http://www.lghausys.co.kr/popup/rn/download/downloadPopup.jsp?from=plwindow&amp;uu=/upload/window/REPORT/KICT-R-K-2017-01403-1-3.pdf","50등급")</f>
        <v>50등급</v>
      </c>
      <c r="Q667" s="5" t="str">
        <f>HYPERLINK("http://www.lghausys.co.kr/popup/rn/download/downloadPopup.jsp?from=plwindow&amp;uu=/upload/window/REPORT/KICT-R-K-2017-01403-1-3.pdf","360등급")</f>
        <v>360등급</v>
      </c>
      <c r="R667" s="5" t="s">
        <v>19</v>
      </c>
      <c r="S667" s="5" t="s">
        <v>19</v>
      </c>
      <c r="T667" s="5" t="s">
        <v>19</v>
      </c>
      <c r="U667" s="5" t="s">
        <v>19</v>
      </c>
      <c r="V667" s="5" t="s">
        <v>19</v>
      </c>
      <c r="W667" s="5" t="s">
        <v>19</v>
      </c>
      <c r="X667"/>
    </row>
    <row r="668" spans="1:24">
      <c r="A668" t="s">
        <v>42</v>
      </c>
      <c r="B668" t="s">
        <v>43</v>
      </c>
      <c r="C668" t="s">
        <v>31</v>
      </c>
      <c r="D668" t="s">
        <v>25</v>
      </c>
      <c r="E668" t="s">
        <v>19</v>
      </c>
      <c r="F668" t="s">
        <v>19</v>
      </c>
      <c r="G668" t="s">
        <v>19</v>
      </c>
      <c r="H668" t="s">
        <v>19</v>
      </c>
      <c r="I668" t="s">
        <v>19</v>
      </c>
      <c r="J668" t="s">
        <v>19</v>
      </c>
      <c r="K668" s="21" t="s">
        <v>607</v>
      </c>
      <c r="L668" s="5" t="s">
        <v>19</v>
      </c>
      <c r="M668" s="5" t="s">
        <v>19</v>
      </c>
      <c r="N668" s="5" t="s">
        <v>19</v>
      </c>
      <c r="O668" s="5" t="str">
        <f>HYPERLINK("http://www.lghausys.co.kr/popup/rn/download/downloadPopup.jsp?from=plwindow&amp;uu=/upload/window/REPORT/KICT-R-K-2017-01414-1.pdf","1등급")</f>
        <v>1등급</v>
      </c>
      <c r="P668" s="5" t="s">
        <v>19</v>
      </c>
      <c r="Q668" s="5" t="s">
        <v>19</v>
      </c>
      <c r="R668" s="5" t="s">
        <v>19</v>
      </c>
      <c r="S668" s="5" t="s">
        <v>19</v>
      </c>
      <c r="T668" s="5" t="s">
        <v>19</v>
      </c>
      <c r="U668" s="5" t="s">
        <v>19</v>
      </c>
      <c r="V668" s="5" t="s">
        <v>19</v>
      </c>
      <c r="W668" s="5" t="s">
        <v>19</v>
      </c>
      <c r="X668"/>
    </row>
    <row r="669" spans="1:24">
      <c r="A669" t="s">
        <v>30</v>
      </c>
      <c r="B669" t="s">
        <v>19</v>
      </c>
      <c r="C669" t="s">
        <v>31</v>
      </c>
      <c r="D669" t="s">
        <v>28</v>
      </c>
      <c r="E669" t="s">
        <v>19</v>
      </c>
      <c r="F669" t="s">
        <v>19</v>
      </c>
      <c r="G669" t="s">
        <v>19</v>
      </c>
      <c r="H669" t="s">
        <v>25</v>
      </c>
      <c r="I669" t="s">
        <v>19</v>
      </c>
      <c r="J669" t="s">
        <v>19</v>
      </c>
      <c r="K669" s="21" t="s">
        <v>607</v>
      </c>
      <c r="L669" s="5" t="s">
        <v>19</v>
      </c>
      <c r="M669" s="5" t="s">
        <v>19</v>
      </c>
      <c r="N669" s="5" t="s">
        <v>19</v>
      </c>
      <c r="O669" s="5" t="str">
        <f>HYPERLINK("http://www.lghausys.co.kr/popup/rn/download/downloadPopup.jsp?from=plwindow&amp;uu=/upload/window/REPORT/KICT-R-K-2017-01404-1-3.pdf","1등급")</f>
        <v>1등급</v>
      </c>
      <c r="P669" s="5" t="str">
        <f>HYPERLINK("http://www.lghausys.co.kr/popup/rn/download/downloadPopup.jsp?from=plwindow&amp;uu=/upload/window/REPORT/KICT-R-K-2017-01404-1-3.pdf","50등급")</f>
        <v>50등급</v>
      </c>
      <c r="Q669" s="5" t="str">
        <f>HYPERLINK("http://www.lghausys.co.kr/popup/rn/download/downloadPopup.jsp?from=plwindow&amp;uu=/upload/window/REPORT/KICT-R-K-2017-01404-1-3.pdf","360등급")</f>
        <v>360등급</v>
      </c>
      <c r="R669" s="5" t="s">
        <v>19</v>
      </c>
      <c r="S669" s="5" t="s">
        <v>19</v>
      </c>
      <c r="T669" s="5" t="s">
        <v>19</v>
      </c>
      <c r="U669" s="5" t="s">
        <v>19</v>
      </c>
      <c r="V669" s="5" t="s">
        <v>19</v>
      </c>
      <c r="W669" s="5" t="s">
        <v>19</v>
      </c>
      <c r="X669"/>
    </row>
    <row r="670" spans="1:24">
      <c r="A670" t="s">
        <v>57</v>
      </c>
      <c r="B670" t="s">
        <v>58</v>
      </c>
      <c r="C670" t="s">
        <v>31</v>
      </c>
      <c r="D670" t="s">
        <v>25</v>
      </c>
      <c r="E670" t="s">
        <v>19</v>
      </c>
      <c r="F670" t="s">
        <v>19</v>
      </c>
      <c r="G670" t="s">
        <v>19</v>
      </c>
      <c r="H670" t="s">
        <v>19</v>
      </c>
      <c r="I670" t="s">
        <v>19</v>
      </c>
      <c r="J670" t="s">
        <v>19</v>
      </c>
      <c r="K670" s="21" t="s">
        <v>607</v>
      </c>
      <c r="L670" s="5" t="s">
        <v>19</v>
      </c>
      <c r="M670" s="5" t="s">
        <v>19</v>
      </c>
      <c r="N670" s="5" t="s">
        <v>19</v>
      </c>
      <c r="O670" s="5" t="str">
        <f>HYPERLINK("http://www.lghausys.co.kr/popup/rn/download/downloadPopup.jsp?from=plwindow&amp;uu=/upload/window/REPORT/KICT-R-K-2017-01412-1-3.pdf","1등급")</f>
        <v>1등급</v>
      </c>
      <c r="P670" s="5" t="str">
        <f>HYPERLINK("http://www.lghausys.co.kr/popup/rn/download/downloadPopup.jsp?from=plwindow&amp;uu=/upload/window/REPORT/KICT-R-K-2017-01412-1-3.pdf","50등급")</f>
        <v>50등급</v>
      </c>
      <c r="Q670" s="5" t="str">
        <f>HYPERLINK("http://www.lghausys.co.kr/popup/rn/download/downloadPopup.jsp?from=plwindow&amp;uu=/upload/window/REPORT/KICT-R-K-2017-01412-1-3.pdf","160등급")</f>
        <v>160등급</v>
      </c>
      <c r="R670" s="5" t="s">
        <v>19</v>
      </c>
      <c r="S670" s="5" t="s">
        <v>19</v>
      </c>
      <c r="T670" s="5" t="s">
        <v>19</v>
      </c>
      <c r="U670" s="5" t="s">
        <v>19</v>
      </c>
      <c r="V670" s="5" t="s">
        <v>19</v>
      </c>
      <c r="W670" s="5" t="s">
        <v>19</v>
      </c>
      <c r="X670"/>
    </row>
    <row r="671" spans="1:24">
      <c r="A671" t="s">
        <v>42</v>
      </c>
      <c r="B671" t="s">
        <v>43</v>
      </c>
      <c r="C671" t="s">
        <v>34</v>
      </c>
      <c r="D671" t="s">
        <v>25</v>
      </c>
      <c r="E671" t="s">
        <v>19</v>
      </c>
      <c r="F671" t="s">
        <v>19</v>
      </c>
      <c r="G671" t="s">
        <v>19</v>
      </c>
      <c r="H671" t="s">
        <v>19</v>
      </c>
      <c r="I671" t="s">
        <v>19</v>
      </c>
      <c r="J671" t="s">
        <v>19</v>
      </c>
      <c r="K671" s="21" t="s">
        <v>607</v>
      </c>
      <c r="L671" s="5" t="s">
        <v>19</v>
      </c>
      <c r="M671" s="5" t="s">
        <v>19</v>
      </c>
      <c r="N671" s="5" t="str">
        <f>HYPERLINK("http://www.lghausys.co.kr/popup/rn/download/downloadPopup.jsp?from=plwindow&amp;uu=/upload/window/REPORT/KICT-R-K-2017-01414-4.pdf","2.485")</f>
        <v>2.485</v>
      </c>
      <c r="O671" s="5" t="s">
        <v>19</v>
      </c>
      <c r="P671" s="5" t="s">
        <v>19</v>
      </c>
      <c r="Q671" s="5" t="s">
        <v>19</v>
      </c>
      <c r="R671" s="5" t="s">
        <v>19</v>
      </c>
      <c r="S671" s="5" t="s">
        <v>19</v>
      </c>
      <c r="T671" s="5" t="s">
        <v>19</v>
      </c>
      <c r="U671" s="5" t="s">
        <v>19</v>
      </c>
      <c r="V671" s="5" t="s">
        <v>19</v>
      </c>
      <c r="W671" s="5" t="s">
        <v>19</v>
      </c>
      <c r="X671"/>
    </row>
    <row r="672" spans="1:24">
      <c r="A672" t="s">
        <v>27</v>
      </c>
      <c r="B672" t="s">
        <v>19</v>
      </c>
      <c r="C672" t="s">
        <v>34</v>
      </c>
      <c r="D672" t="s">
        <v>28</v>
      </c>
      <c r="E672" t="s">
        <v>67</v>
      </c>
      <c r="F672" t="s">
        <v>19</v>
      </c>
      <c r="G672" t="s">
        <v>19</v>
      </c>
      <c r="H672" t="s">
        <v>25</v>
      </c>
      <c r="I672" t="s">
        <v>19</v>
      </c>
      <c r="J672" t="s">
        <v>19</v>
      </c>
      <c r="K672" s="21" t="s">
        <v>607</v>
      </c>
      <c r="L672" s="5" t="s">
        <v>19</v>
      </c>
      <c r="M672" s="5" t="s">
        <v>19</v>
      </c>
      <c r="N672" s="5" t="str">
        <f>HYPERLINK("http://www.lghausys.co.kr/popup/rn/download/downloadPopup.jsp?from=plwindow&amp;uu=/upload/window/REPORT/KICT-R-K-2017-01403-4.pdf","1.046")</f>
        <v>1.046</v>
      </c>
      <c r="O672" s="5" t="s">
        <v>19</v>
      </c>
      <c r="P672" s="5" t="s">
        <v>19</v>
      </c>
      <c r="Q672" s="5" t="s">
        <v>19</v>
      </c>
      <c r="R672" s="5" t="s">
        <v>19</v>
      </c>
      <c r="S672" s="5" t="s">
        <v>19</v>
      </c>
      <c r="T672" s="5" t="s">
        <v>19</v>
      </c>
      <c r="U672" s="5" t="s">
        <v>19</v>
      </c>
      <c r="V672" s="5" t="s">
        <v>19</v>
      </c>
      <c r="W672" s="5" t="s">
        <v>19</v>
      </c>
      <c r="X672"/>
    </row>
    <row r="673" spans="1:24">
      <c r="A673" t="s">
        <v>42</v>
      </c>
      <c r="B673" t="s">
        <v>43</v>
      </c>
      <c r="C673" t="s">
        <v>34</v>
      </c>
      <c r="D673" t="s">
        <v>28</v>
      </c>
      <c r="E673" t="s">
        <v>19</v>
      </c>
      <c r="F673" t="s">
        <v>19</v>
      </c>
      <c r="G673" t="s">
        <v>19</v>
      </c>
      <c r="H673" t="s">
        <v>19</v>
      </c>
      <c r="I673" t="s">
        <v>19</v>
      </c>
      <c r="J673" t="s">
        <v>74</v>
      </c>
      <c r="K673" s="21" t="s">
        <v>607</v>
      </c>
      <c r="L673" s="5" t="s">
        <v>19</v>
      </c>
      <c r="M673" s="5" t="s">
        <v>19</v>
      </c>
      <c r="N673" s="5" t="str">
        <f>HYPERLINK("http://www.lghausys.co.kr/popup/rn/download/downloadPopup.jsp?from=plwindow&amp;uu=/upload/window/REPORT/LGH-TA18-064.pdf","2.1124")</f>
        <v>2.1124</v>
      </c>
      <c r="O673" s="5" t="s">
        <v>19</v>
      </c>
      <c r="P673" s="5" t="s">
        <v>19</v>
      </c>
      <c r="Q673" s="5" t="s">
        <v>19</v>
      </c>
      <c r="R673" s="5" t="s">
        <v>19</v>
      </c>
      <c r="S673" s="5" t="s">
        <v>19</v>
      </c>
      <c r="T673" s="5" t="s">
        <v>19</v>
      </c>
      <c r="U673" s="5" t="s">
        <v>19</v>
      </c>
      <c r="V673" s="5" t="s">
        <v>19</v>
      </c>
      <c r="W673" s="5" t="s">
        <v>75</v>
      </c>
      <c r="X673"/>
    </row>
    <row r="674" spans="1:24">
      <c r="A674" t="s">
        <v>18</v>
      </c>
      <c r="B674" t="s">
        <v>19</v>
      </c>
      <c r="C674" t="s">
        <v>34</v>
      </c>
      <c r="D674" t="s">
        <v>25</v>
      </c>
      <c r="E674" t="s">
        <v>19</v>
      </c>
      <c r="F674" t="s">
        <v>19</v>
      </c>
      <c r="G674" t="s">
        <v>19</v>
      </c>
      <c r="H674" t="s">
        <v>19</v>
      </c>
      <c r="I674" t="s">
        <v>19</v>
      </c>
      <c r="J674" t="s">
        <v>74</v>
      </c>
      <c r="K674" s="21" t="s">
        <v>607</v>
      </c>
      <c r="L674" s="5" t="s">
        <v>19</v>
      </c>
      <c r="M674" s="5" t="s">
        <v>19</v>
      </c>
      <c r="N674" s="5" t="str">
        <f>HYPERLINK("http://www.lghausys.co.kr/popup/rn/download/downloadPopup.jsp?from=plwindow&amp;uu=/upload/window/REPORT/LGH-TA18-065.pdf","2.7525")</f>
        <v>2.7525</v>
      </c>
      <c r="O674" s="5" t="s">
        <v>19</v>
      </c>
      <c r="P674" s="5" t="s">
        <v>19</v>
      </c>
      <c r="Q674" s="5" t="s">
        <v>19</v>
      </c>
      <c r="R674" s="5" t="s">
        <v>19</v>
      </c>
      <c r="S674" s="5" t="s">
        <v>19</v>
      </c>
      <c r="T674" s="5" t="s">
        <v>19</v>
      </c>
      <c r="U674" s="5" t="s">
        <v>19</v>
      </c>
      <c r="V674" s="5" t="s">
        <v>19</v>
      </c>
      <c r="W674" s="5" t="s">
        <v>75</v>
      </c>
      <c r="X674"/>
    </row>
    <row r="675" spans="1:24">
      <c r="A675" t="s">
        <v>19</v>
      </c>
      <c r="B675" t="s">
        <v>193</v>
      </c>
      <c r="C675" t="s">
        <v>34</v>
      </c>
      <c r="D675" t="s">
        <v>28</v>
      </c>
      <c r="E675" t="s">
        <v>19</v>
      </c>
      <c r="F675" t="s">
        <v>19</v>
      </c>
      <c r="G675" t="s">
        <v>19</v>
      </c>
      <c r="H675" t="s">
        <v>19</v>
      </c>
      <c r="I675" t="s">
        <v>19</v>
      </c>
      <c r="J675" t="s">
        <v>74</v>
      </c>
      <c r="K675" s="21" t="s">
        <v>607</v>
      </c>
      <c r="L675" s="5" t="s">
        <v>19</v>
      </c>
      <c r="M675" s="5" t="s">
        <v>19</v>
      </c>
      <c r="N675" s="5" t="str">
        <f>HYPERLINK("http://www.lghausys.co.kr/popup/rn/download/downloadPopup.jsp?from=plwindow&amp;uu=/upload/window/REPORT/LGH-TA18-066.pdf","2.3714")</f>
        <v>2.3714</v>
      </c>
      <c r="O675" s="5" t="s">
        <v>19</v>
      </c>
      <c r="P675" s="5" t="s">
        <v>19</v>
      </c>
      <c r="Q675" s="5" t="s">
        <v>19</v>
      </c>
      <c r="R675" s="5" t="s">
        <v>19</v>
      </c>
      <c r="S675" s="5" t="s">
        <v>19</v>
      </c>
      <c r="T675" s="5" t="s">
        <v>19</v>
      </c>
      <c r="U675" s="5" t="s">
        <v>19</v>
      </c>
      <c r="V675" s="5" t="s">
        <v>19</v>
      </c>
      <c r="W675" s="5" t="s">
        <v>75</v>
      </c>
      <c r="X675"/>
    </row>
    <row r="676" spans="1:24">
      <c r="A676" t="s">
        <v>42</v>
      </c>
      <c r="B676" t="s">
        <v>43</v>
      </c>
      <c r="C676" t="s">
        <v>31</v>
      </c>
      <c r="D676" t="s">
        <v>199</v>
      </c>
      <c r="E676" t="s">
        <v>19</v>
      </c>
      <c r="F676" t="s">
        <v>19</v>
      </c>
      <c r="G676" t="s">
        <v>19</v>
      </c>
      <c r="H676" t="s">
        <v>19</v>
      </c>
      <c r="I676" t="s">
        <v>19</v>
      </c>
      <c r="J676" t="s">
        <v>190</v>
      </c>
      <c r="K676" s="21" t="s">
        <v>607</v>
      </c>
      <c r="L676" s="5" t="s">
        <v>19</v>
      </c>
      <c r="M676" s="5" t="s">
        <v>19</v>
      </c>
      <c r="N676" s="5" t="s">
        <v>19</v>
      </c>
      <c r="O676" s="5" t="str">
        <f>HYPERLINK("http://www.lghausys.co.kr/popup/rn/download/downloadPopup.jsp?from=plwindow&amp;uu=/upload/window/REPORT/LGH-WA18-064.pdf","등급")</f>
        <v>등급</v>
      </c>
      <c r="P676" s="5" t="s">
        <v>19</v>
      </c>
      <c r="Q676" s="5" t="s">
        <v>19</v>
      </c>
      <c r="R676" s="5" t="s">
        <v>19</v>
      </c>
      <c r="S676" s="5" t="s">
        <v>19</v>
      </c>
      <c r="T676" s="5" t="s">
        <v>19</v>
      </c>
      <c r="U676" s="5" t="s">
        <v>19</v>
      </c>
      <c r="V676" s="5" t="s">
        <v>19</v>
      </c>
      <c r="W676" s="5" t="s">
        <v>152</v>
      </c>
      <c r="X676"/>
    </row>
    <row r="677" spans="1:24">
      <c r="A677" t="s">
        <v>19</v>
      </c>
      <c r="B677" t="s">
        <v>83</v>
      </c>
      <c r="C677" t="s">
        <v>31</v>
      </c>
      <c r="D677" t="s">
        <v>200</v>
      </c>
      <c r="E677" t="s">
        <v>19</v>
      </c>
      <c r="F677" t="s">
        <v>19</v>
      </c>
      <c r="G677" t="s">
        <v>19</v>
      </c>
      <c r="H677" t="s">
        <v>19</v>
      </c>
      <c r="I677" t="s">
        <v>19</v>
      </c>
      <c r="J677" t="s">
        <v>196</v>
      </c>
      <c r="K677" s="21" t="s">
        <v>607</v>
      </c>
      <c r="L677" s="5" t="s">
        <v>19</v>
      </c>
      <c r="M677" s="5" t="s">
        <v>19</v>
      </c>
      <c r="N677" s="5" t="s">
        <v>19</v>
      </c>
      <c r="O677" s="5" t="str">
        <f>HYPERLINK("http://www.lghausys.co.kr/popup/rn/download/downloadPopup.jsp?from=plwindow&amp;uu=/upload/window/REPORT/LGH-WA18-065.pdf","등급")</f>
        <v>등급</v>
      </c>
      <c r="P677" s="5" t="s">
        <v>19</v>
      </c>
      <c r="Q677" s="5" t="s">
        <v>19</v>
      </c>
      <c r="R677" s="5" t="s">
        <v>19</v>
      </c>
      <c r="S677" s="5" t="s">
        <v>19</v>
      </c>
      <c r="T677" s="5" t="s">
        <v>19</v>
      </c>
      <c r="U677" s="5" t="s">
        <v>19</v>
      </c>
      <c r="V677" s="5" t="s">
        <v>19</v>
      </c>
      <c r="W677" s="5" t="s">
        <v>152</v>
      </c>
      <c r="X677"/>
    </row>
    <row r="678" spans="1:24">
      <c r="A678" t="s">
        <v>442</v>
      </c>
      <c r="B678" t="s">
        <v>197</v>
      </c>
      <c r="C678" t="s">
        <v>34</v>
      </c>
      <c r="D678" t="s">
        <v>198</v>
      </c>
      <c r="E678" t="s">
        <v>19</v>
      </c>
      <c r="F678" t="s">
        <v>19</v>
      </c>
      <c r="G678" t="s">
        <v>19</v>
      </c>
      <c r="H678" t="s">
        <v>19</v>
      </c>
      <c r="I678" t="s">
        <v>19</v>
      </c>
      <c r="J678" t="s">
        <v>97</v>
      </c>
      <c r="K678" s="21" t="s">
        <v>607</v>
      </c>
      <c r="L678" s="5" t="s">
        <v>19</v>
      </c>
      <c r="M678" s="5" t="s">
        <v>19</v>
      </c>
      <c r="N678" s="5" t="str">
        <f>HYPERLINK("http://www.lghausys.co.kr/popup/rn/download/downloadPopup.jsp?from=plwindow&amp;uu=/upload/window/REPORT/LGH-TA18-068.pdf","0.8919")</f>
        <v>0.8919</v>
      </c>
      <c r="O678" s="5" t="s">
        <v>19</v>
      </c>
      <c r="P678" s="5" t="s">
        <v>19</v>
      </c>
      <c r="Q678" s="5" t="s">
        <v>19</v>
      </c>
      <c r="R678" s="5" t="s">
        <v>19</v>
      </c>
      <c r="S678" s="5" t="s">
        <v>19</v>
      </c>
      <c r="T678" s="5" t="s">
        <v>19</v>
      </c>
      <c r="U678" s="5" t="s">
        <v>19</v>
      </c>
      <c r="V678" s="5" t="s">
        <v>19</v>
      </c>
      <c r="W678" s="5" t="s">
        <v>75</v>
      </c>
      <c r="X678"/>
    </row>
    <row r="679" spans="1:24">
      <c r="A679" t="s">
        <v>95</v>
      </c>
      <c r="B679" t="s">
        <v>19</v>
      </c>
      <c r="C679" t="s">
        <v>24</v>
      </c>
      <c r="D679" t="s">
        <v>79</v>
      </c>
      <c r="E679" t="s">
        <v>79</v>
      </c>
      <c r="F679" t="s">
        <v>19</v>
      </c>
      <c r="G679" t="s">
        <v>19</v>
      </c>
      <c r="H679" t="s">
        <v>19</v>
      </c>
      <c r="I679" t="s">
        <v>19</v>
      </c>
      <c r="J679" t="s">
        <v>19</v>
      </c>
      <c r="K679" s="21" t="s">
        <v>607</v>
      </c>
      <c r="L679" s="5" t="s">
        <v>19</v>
      </c>
      <c r="M679" s="5" t="s">
        <v>19</v>
      </c>
      <c r="N679" s="5" t="s">
        <v>19</v>
      </c>
      <c r="O679" s="5" t="s">
        <v>19</v>
      </c>
      <c r="P679" s="5" t="s">
        <v>19</v>
      </c>
      <c r="Q679" s="5" t="s">
        <v>19</v>
      </c>
      <c r="R679" s="5" t="str">
        <f>HYPERLINK("http://www.lghausys.co.kr/popup/rn/download/downloadPopup.jsp?from=plwindow&amp;uu=/upload/window/REPORT/KICT-R-K-2017-01459-1-1.pdf","TS30등급,STC30")</f>
        <v>TS30등급,STC30</v>
      </c>
      <c r="S679" s="5" t="s">
        <v>19</v>
      </c>
      <c r="T679" s="5" t="s">
        <v>19</v>
      </c>
      <c r="U679" s="5" t="s">
        <v>19</v>
      </c>
      <c r="V679" s="5" t="s">
        <v>19</v>
      </c>
      <c r="W679" s="5" t="s">
        <v>19</v>
      </c>
      <c r="X679"/>
    </row>
    <row r="680" spans="1:24">
      <c r="A680" t="s">
        <v>95</v>
      </c>
      <c r="B680" t="s">
        <v>19</v>
      </c>
      <c r="C680" t="s">
        <v>34</v>
      </c>
      <c r="D680" t="s">
        <v>79</v>
      </c>
      <c r="E680" t="s">
        <v>79</v>
      </c>
      <c r="F680" t="s">
        <v>19</v>
      </c>
      <c r="G680" t="s">
        <v>19</v>
      </c>
      <c r="H680" t="s">
        <v>19</v>
      </c>
      <c r="I680" t="s">
        <v>19</v>
      </c>
      <c r="J680" t="s">
        <v>19</v>
      </c>
      <c r="K680" s="21" t="s">
        <v>607</v>
      </c>
      <c r="L680" s="5" t="s">
        <v>19</v>
      </c>
      <c r="M680" s="5" t="s">
        <v>19</v>
      </c>
      <c r="N680" s="5" t="str">
        <f>HYPERLINK("http://www.lghausys.co.kr/popup/rn/download/downloadPopup.jsp?from=plwindow&amp;uu=/upload/window/REPORT/KICT-R-K-2017-01411-4.pdf","7.377")</f>
        <v>7.377</v>
      </c>
      <c r="O680" s="5" t="s">
        <v>19</v>
      </c>
      <c r="P680" s="5" t="s">
        <v>19</v>
      </c>
      <c r="Q680" s="5" t="s">
        <v>19</v>
      </c>
      <c r="R680" s="5" t="s">
        <v>19</v>
      </c>
      <c r="S680" s="5" t="s">
        <v>19</v>
      </c>
      <c r="T680" s="5" t="s">
        <v>19</v>
      </c>
      <c r="U680" s="5" t="s">
        <v>19</v>
      </c>
      <c r="V680" s="5" t="s">
        <v>19</v>
      </c>
      <c r="W680" s="5" t="s">
        <v>19</v>
      </c>
      <c r="X680"/>
    </row>
    <row r="681" spans="1:24">
      <c r="A681" t="s">
        <v>57</v>
      </c>
      <c r="B681" t="s">
        <v>58</v>
      </c>
      <c r="C681" t="s">
        <v>34</v>
      </c>
      <c r="D681" t="s">
        <v>64</v>
      </c>
      <c r="E681" t="s">
        <v>19</v>
      </c>
      <c r="F681" t="s">
        <v>19</v>
      </c>
      <c r="G681" t="s">
        <v>19</v>
      </c>
      <c r="H681" t="s">
        <v>19</v>
      </c>
      <c r="I681" t="s">
        <v>19</v>
      </c>
      <c r="J681" t="s">
        <v>74</v>
      </c>
      <c r="K681" s="21" t="s">
        <v>607</v>
      </c>
      <c r="L681" s="5" t="s">
        <v>19</v>
      </c>
      <c r="M681" s="5" t="s">
        <v>19</v>
      </c>
      <c r="N681" s="5" t="str">
        <f>HYPERLINK("http://www.lghausys.co.kr/popup/rn/download/downloadPopup.jsp?from=plwindow&amp;uu=/upload/window/REPORT/LGH-TA18-076.pdf","2.0141")</f>
        <v>2.0141</v>
      </c>
      <c r="O681" s="5" t="s">
        <v>19</v>
      </c>
      <c r="P681" s="5" t="s">
        <v>19</v>
      </c>
      <c r="Q681" s="5" t="s">
        <v>19</v>
      </c>
      <c r="R681" s="5" t="s">
        <v>19</v>
      </c>
      <c r="S681" s="5" t="s">
        <v>19</v>
      </c>
      <c r="T681" s="5" t="s">
        <v>19</v>
      </c>
      <c r="U681" s="5" t="s">
        <v>19</v>
      </c>
      <c r="V681" s="5" t="s">
        <v>19</v>
      </c>
      <c r="W681" s="5" t="s">
        <v>75</v>
      </c>
      <c r="X681"/>
    </row>
    <row r="682" spans="1:24">
      <c r="A682" t="s">
        <v>19</v>
      </c>
      <c r="B682" t="s">
        <v>83</v>
      </c>
      <c r="C682" t="s">
        <v>34</v>
      </c>
      <c r="D682" t="s">
        <v>28</v>
      </c>
      <c r="E682" t="s">
        <v>19</v>
      </c>
      <c r="F682" t="s">
        <v>19</v>
      </c>
      <c r="G682" t="s">
        <v>19</v>
      </c>
      <c r="H682" t="s">
        <v>19</v>
      </c>
      <c r="I682" t="s">
        <v>19</v>
      </c>
      <c r="J682" t="s">
        <v>97</v>
      </c>
      <c r="K682" s="21" t="s">
        <v>607</v>
      </c>
      <c r="L682" s="5" t="s">
        <v>19</v>
      </c>
      <c r="M682" s="5" t="s">
        <v>19</v>
      </c>
      <c r="N682" s="5" t="str">
        <f>HYPERLINK("http://www.lghausys.co.kr/popup/rn/download/downloadPopup.jsp?from=plwindow&amp;uu=/upload/window/REPORT/LGH-TA18-079.pdf","2.2381")</f>
        <v>2.2381</v>
      </c>
      <c r="O682" s="5" t="s">
        <v>19</v>
      </c>
      <c r="P682" s="5" t="s">
        <v>19</v>
      </c>
      <c r="Q682" s="5" t="s">
        <v>19</v>
      </c>
      <c r="R682" s="5" t="s">
        <v>19</v>
      </c>
      <c r="S682" s="5" t="s">
        <v>19</v>
      </c>
      <c r="T682" s="5" t="s">
        <v>19</v>
      </c>
      <c r="U682" s="5" t="s">
        <v>19</v>
      </c>
      <c r="V682" s="5" t="s">
        <v>19</v>
      </c>
      <c r="W682" s="5" t="s">
        <v>75</v>
      </c>
      <c r="X682"/>
    </row>
    <row r="683" spans="1:24">
      <c r="A683" t="s">
        <v>57</v>
      </c>
      <c r="B683" t="s">
        <v>58</v>
      </c>
      <c r="C683" t="s">
        <v>31</v>
      </c>
      <c r="D683" t="s">
        <v>64</v>
      </c>
      <c r="E683" t="s">
        <v>19</v>
      </c>
      <c r="F683" t="s">
        <v>19</v>
      </c>
      <c r="G683" t="s">
        <v>19</v>
      </c>
      <c r="H683" t="s">
        <v>19</v>
      </c>
      <c r="I683" t="s">
        <v>19</v>
      </c>
      <c r="J683" t="s">
        <v>74</v>
      </c>
      <c r="K683" s="21" t="s">
        <v>607</v>
      </c>
      <c r="L683" s="5" t="s">
        <v>19</v>
      </c>
      <c r="M683" s="5" t="s">
        <v>19</v>
      </c>
      <c r="N683" s="5" t="s">
        <v>19</v>
      </c>
      <c r="O683" s="5" t="str">
        <f>HYPERLINK("http://www.lghausys.co.kr/popup/rn/download/downloadPopup.jsp?from=plwindow&amp;uu=/upload/window/REPORT/LGH-WA18-096.pdf","1등급")</f>
        <v>1등급</v>
      </c>
      <c r="P683" s="5" t="s">
        <v>19</v>
      </c>
      <c r="Q683" s="5" t="s">
        <v>19</v>
      </c>
      <c r="R683" s="5" t="s">
        <v>19</v>
      </c>
      <c r="S683" s="5" t="s">
        <v>19</v>
      </c>
      <c r="T683" s="5" t="s">
        <v>19</v>
      </c>
      <c r="U683" s="5" t="s">
        <v>19</v>
      </c>
      <c r="V683" s="5" t="s">
        <v>19</v>
      </c>
      <c r="W683" s="5" t="s">
        <v>152</v>
      </c>
      <c r="X683"/>
    </row>
    <row r="684" spans="1:24">
      <c r="A684" t="s">
        <v>73</v>
      </c>
      <c r="B684" t="s">
        <v>19</v>
      </c>
      <c r="C684" t="s">
        <v>31</v>
      </c>
      <c r="D684" t="s">
        <v>21</v>
      </c>
      <c r="E684" t="s">
        <v>19</v>
      </c>
      <c r="F684" t="s">
        <v>19</v>
      </c>
      <c r="G684" t="s">
        <v>19</v>
      </c>
      <c r="H684" t="s">
        <v>21</v>
      </c>
      <c r="I684" t="s">
        <v>19</v>
      </c>
      <c r="J684" t="s">
        <v>99</v>
      </c>
      <c r="K684" s="21" t="s">
        <v>607</v>
      </c>
      <c r="L684" s="5" t="s">
        <v>19</v>
      </c>
      <c r="M684" s="5" t="s">
        <v>19</v>
      </c>
      <c r="N684" s="5" t="s">
        <v>19</v>
      </c>
      <c r="O684" s="5" t="str">
        <f>HYPERLINK("http://www.lghausys.co.kr/popup/rn/download/downloadPopup.jsp?from=plwindow&amp;uu=/upload/window/REPORT/LGH-WA18-108.pdf","1등급")</f>
        <v>1등급</v>
      </c>
      <c r="P684" s="5" t="str">
        <f>HYPERLINK("http://www.lghausys.co.kr/popup/rn/download/downloadPopup.jsp?from=plwindow&amp;uu=/upload/window/REPORT/LGH-WA18-108.pdf","50등급")</f>
        <v>50등급</v>
      </c>
      <c r="Q684" s="5" t="str">
        <f>HYPERLINK("http://www.lghausys.co.kr/popup/rn/download/downloadPopup.jsp?from=plwindow&amp;uu=/upload/window/REPORT/LGH-WA18-108.pdf","400등급")</f>
        <v>400등급</v>
      </c>
      <c r="R684" s="5" t="s">
        <v>19</v>
      </c>
      <c r="S684" s="5" t="s">
        <v>19</v>
      </c>
      <c r="T684" s="5" t="s">
        <v>19</v>
      </c>
      <c r="U684" s="5" t="s">
        <v>19</v>
      </c>
      <c r="V684" s="5" t="s">
        <v>19</v>
      </c>
      <c r="W684" s="5" t="s">
        <v>152</v>
      </c>
      <c r="X684"/>
    </row>
    <row r="685" spans="1:24">
      <c r="A685" t="s">
        <v>73</v>
      </c>
      <c r="B685" t="s">
        <v>19</v>
      </c>
      <c r="C685" t="s">
        <v>14</v>
      </c>
      <c r="D685" t="s">
        <v>21</v>
      </c>
      <c r="E685" t="s">
        <v>19</v>
      </c>
      <c r="F685" t="s">
        <v>19</v>
      </c>
      <c r="G685" t="s">
        <v>19</v>
      </c>
      <c r="H685" t="s">
        <v>21</v>
      </c>
      <c r="I685" t="s">
        <v>19</v>
      </c>
      <c r="J685" t="s">
        <v>99</v>
      </c>
      <c r="K685" s="21" t="s">
        <v>607</v>
      </c>
      <c r="L685" s="5" t="s">
        <v>19</v>
      </c>
      <c r="M685" s="5" t="s">
        <v>19</v>
      </c>
      <c r="N685" s="5" t="s">
        <v>19</v>
      </c>
      <c r="O685" s="5" t="s">
        <v>19</v>
      </c>
      <c r="P685" s="5" t="s">
        <v>19</v>
      </c>
      <c r="Q685" s="5" t="s">
        <v>19</v>
      </c>
      <c r="R685" s="5" t="s">
        <v>19</v>
      </c>
      <c r="S685" s="5" t="s">
        <v>19</v>
      </c>
      <c r="T685" s="5" t="str">
        <f>HYPERLINK("http://www.lghausys.co.kr/popup/rn/download/downloadPopup.jsp?from=plwindow&amp;uu=/upload/window/REPORT/LGH-DA18-004.pdf","결로발생없음")</f>
        <v>결로발생없음</v>
      </c>
      <c r="U685" s="5" t="s">
        <v>19</v>
      </c>
      <c r="V685" s="5" t="s">
        <v>19</v>
      </c>
      <c r="W685" s="5" t="s">
        <v>75</v>
      </c>
      <c r="X685"/>
    </row>
    <row r="686" spans="1:24">
      <c r="A686" t="s">
        <v>175</v>
      </c>
      <c r="B686" t="s">
        <v>19</v>
      </c>
      <c r="C686" t="s">
        <v>20</v>
      </c>
      <c r="D686" t="s">
        <v>102</v>
      </c>
      <c r="E686" t="s">
        <v>19</v>
      </c>
      <c r="F686" t="s">
        <v>19</v>
      </c>
      <c r="G686" t="s">
        <v>19</v>
      </c>
      <c r="H686" t="s">
        <v>102</v>
      </c>
      <c r="I686" t="s">
        <v>19</v>
      </c>
      <c r="J686" t="s">
        <v>74</v>
      </c>
      <c r="K686" s="21" t="str">
        <f>IF(X686&lt;=0.9,HYPERLINK("http://www.lxhausys.co.kr/popup/rn/download/downloadPopup.jsp?from=plwindow&amp;uu=/upload/window/REPORT/LGH-TW18-021.pdf","1등급"),IF(X686&lt;=1.2,HYPERLINK("http://www.lxhausys.co.kr/popup/rn/download/downloadPopup.jsp?from=plwindow&amp;uu=/upload/window/REPORT/LGH-TW18-021.pdf","2등급"),IF(X686&lt;=1.8,HYPERLINK("http://www.lxhausys.co.kr/popup/rn/download/downloadPopup.jsp?from=plwindow&amp;uu=/upload/window/REPORT/LGH-TW18-021.pdf","3등급"),IF(X686&lt;=2.3,HYPERLINK("http://www.lxhausys.co.kr/popup/rn/download/downloadPopup.jsp?from=plwindow&amp;uu=/upload/window/REPORT/LGH-TW18-021.pdf","4등급"),IF(X686&lt;=2.8,HYPERLINK("http://www.lxhausys.co.kr/popup/rn/download/downloadPopup.jsp?from=plwindow&amp;uu=/upload/window/REPORT/LGH-TW18-021.pdf","5등급"),HYPERLINK("http://www.lxhausys.co.kr/popup/rn/download/downloadPopup.jsp?from=plwindow&amp;uu=/upload/window/REPORT/LGH-TW18-021.pdf","등급외"))))))</f>
        <v>1등급</v>
      </c>
      <c r="L686" s="5">
        <v>0.76219999999999999</v>
      </c>
      <c r="M686" s="5" t="s">
        <v>22</v>
      </c>
      <c r="N686" s="5" t="s">
        <v>607</v>
      </c>
      <c r="O686" s="5" t="s">
        <v>19</v>
      </c>
      <c r="P686" s="5" t="s">
        <v>19</v>
      </c>
      <c r="Q686" s="5" t="s">
        <v>19</v>
      </c>
      <c r="R686" s="5" t="s">
        <v>19</v>
      </c>
      <c r="S686" s="5" t="s">
        <v>19</v>
      </c>
      <c r="T686" s="5" t="s">
        <v>19</v>
      </c>
      <c r="U686" s="5" t="s">
        <v>19</v>
      </c>
      <c r="V686" s="5" t="s">
        <v>19</v>
      </c>
      <c r="W686" s="5" t="s">
        <v>19</v>
      </c>
      <c r="X686" s="19">
        <f t="shared" ref="X686:X691" si="4">L686</f>
        <v>0.76219999999999999</v>
      </c>
    </row>
    <row r="687" spans="1:24">
      <c r="A687" t="s">
        <v>175</v>
      </c>
      <c r="B687" t="s">
        <v>19</v>
      </c>
      <c r="C687" t="s">
        <v>20</v>
      </c>
      <c r="D687" t="s">
        <v>126</v>
      </c>
      <c r="E687" t="s">
        <v>19</v>
      </c>
      <c r="F687" t="s">
        <v>19</v>
      </c>
      <c r="G687" t="s">
        <v>19</v>
      </c>
      <c r="H687" t="s">
        <v>126</v>
      </c>
      <c r="I687" t="s">
        <v>19</v>
      </c>
      <c r="J687" t="s">
        <v>74</v>
      </c>
      <c r="K687" s="21" t="str">
        <f>IF(X687&lt;=0.9,HYPERLINK("http://www.lxhausys.co.kr/popup/rn/download/downloadPopup.jsp?from=plwindow&amp;uu=/upload/window/REPORT/LGH-TW18-022.pdf","1등급"),IF(X687&lt;=1.2,HYPERLINK("http://www.lxhausys.co.kr/popup/rn/download/downloadPopup.jsp?from=plwindow&amp;uu=/upload/window/REPORT/LGH-TW18-022.pdf","2등급"),IF(X687&lt;=1.8,HYPERLINK("http://www.lxhausys.co.kr/popup/rn/download/downloadPopup.jsp?from=plwindow&amp;uu=/upload/window/REPORT/LGH-TW18-022.pdf","3등급"),IF(X687&lt;=2.3,HYPERLINK("http://www.lxhausys.co.kr/popup/rn/download/downloadPopup.jsp?from=plwindow&amp;uu=/upload/window/REPORT/LGH-TW18-022.pdf","4등급"),IF(X687&lt;=2.8,HYPERLINK("http://www.lxhausys.co.kr/popup/rn/download/downloadPopup.jsp?from=plwindow&amp;uu=/upload/window/REPORT/LGH-TW18-022.pdf","5등급"),HYPERLINK("http://www.lxhausys.co.kr/popup/rn/download/downloadPopup.jsp?from=plwindow&amp;uu=/upload/window/REPORT/LGH-TW18-022.pdf","등급외"))))))</f>
        <v>1등급</v>
      </c>
      <c r="L687" s="5">
        <v>0.73729999999999996</v>
      </c>
      <c r="M687" s="5" t="s">
        <v>22</v>
      </c>
      <c r="N687" s="5" t="s">
        <v>607</v>
      </c>
      <c r="O687" s="5" t="s">
        <v>19</v>
      </c>
      <c r="P687" s="5" t="s">
        <v>19</v>
      </c>
      <c r="Q687" s="5" t="s">
        <v>19</v>
      </c>
      <c r="R687" s="5" t="s">
        <v>19</v>
      </c>
      <c r="S687" s="5" t="s">
        <v>19</v>
      </c>
      <c r="T687" s="5" t="s">
        <v>19</v>
      </c>
      <c r="U687" s="5" t="s">
        <v>19</v>
      </c>
      <c r="V687" s="5" t="s">
        <v>19</v>
      </c>
      <c r="W687" s="5" t="s">
        <v>19</v>
      </c>
      <c r="X687" s="19">
        <f t="shared" si="4"/>
        <v>0.73729999999999996</v>
      </c>
    </row>
    <row r="688" spans="1:24">
      <c r="A688" t="s">
        <v>175</v>
      </c>
      <c r="B688" t="s">
        <v>19</v>
      </c>
      <c r="C688" t="s">
        <v>20</v>
      </c>
      <c r="D688" t="s">
        <v>126</v>
      </c>
      <c r="E688" t="s">
        <v>19</v>
      </c>
      <c r="F688" t="s">
        <v>19</v>
      </c>
      <c r="G688" t="s">
        <v>19</v>
      </c>
      <c r="H688" t="s">
        <v>68</v>
      </c>
      <c r="I688" t="s">
        <v>19</v>
      </c>
      <c r="J688" t="s">
        <v>74</v>
      </c>
      <c r="K688" s="21" t="str">
        <f>IF(X688&lt;=0.9,HYPERLINK("http://www.lxhausys.co.kr/popup/rn/download/downloadPopup.jsp?from=plwindow&amp;uu=/upload/window/REPORT/LGH-TW18-023.pdf","1등급"),IF(X688&lt;=1.2,HYPERLINK("http://www.lxhausys.co.kr/popup/rn/download/downloadPopup.jsp?from=plwindow&amp;uu=/upload/window/REPORT/LGH-TW18-023.pdf","2등급"),IF(X688&lt;=1.8,HYPERLINK("http://www.lxhausys.co.kr/popup/rn/download/downloadPopup.jsp?from=plwindow&amp;uu=/upload/window/REPORT/LGH-TW18-023.pdf","3등급"),IF(X688&lt;=2.3,HYPERLINK("http://www.lxhausys.co.kr/popup/rn/download/downloadPopup.jsp?from=plwindow&amp;uu=/upload/window/REPORT/LGH-TW18-023.pdf","4등급"),IF(X688&lt;=2.8,HYPERLINK("http://www.lxhausys.co.kr/popup/rn/download/downloadPopup.jsp?from=plwindow&amp;uu=/upload/window/REPORT/LGH-TW18-023.pdf","5등급"),HYPERLINK("http://www.lxhausys.co.kr/popup/rn/download/downloadPopup.jsp?from=plwindow&amp;uu=/upload/window/REPORT/LGH-TW18-023.pdf","등급외"))))))</f>
        <v>2등급</v>
      </c>
      <c r="L688" s="5">
        <v>0.91249999999999998</v>
      </c>
      <c r="M688" s="5" t="s">
        <v>22</v>
      </c>
      <c r="N688" s="5" t="s">
        <v>607</v>
      </c>
      <c r="O688" s="5" t="s">
        <v>19</v>
      </c>
      <c r="P688" s="5" t="s">
        <v>19</v>
      </c>
      <c r="Q688" s="5" t="s">
        <v>19</v>
      </c>
      <c r="R688" s="5" t="s">
        <v>19</v>
      </c>
      <c r="S688" s="5" t="s">
        <v>19</v>
      </c>
      <c r="T688" s="5" t="s">
        <v>19</v>
      </c>
      <c r="U688" s="5" t="s">
        <v>19</v>
      </c>
      <c r="V688" s="5" t="s">
        <v>19</v>
      </c>
      <c r="W688" s="5" t="s">
        <v>19</v>
      </c>
      <c r="X688" s="19">
        <f t="shared" si="4"/>
        <v>0.91249999999999998</v>
      </c>
    </row>
    <row r="689" spans="1:24">
      <c r="A689" t="s">
        <v>175</v>
      </c>
      <c r="B689" t="s">
        <v>19</v>
      </c>
      <c r="C689" t="s">
        <v>20</v>
      </c>
      <c r="D689" t="s">
        <v>102</v>
      </c>
      <c r="E689" t="s">
        <v>19</v>
      </c>
      <c r="F689" t="s">
        <v>19</v>
      </c>
      <c r="G689" t="s">
        <v>19</v>
      </c>
      <c r="H689" t="s">
        <v>68</v>
      </c>
      <c r="I689" t="s">
        <v>19</v>
      </c>
      <c r="J689" t="s">
        <v>74</v>
      </c>
      <c r="K689" s="21" t="str">
        <f>IF(X689&lt;=0.9,HYPERLINK("http://www.lxhausys.co.kr/popup/rn/download/downloadPopup.jsp?from=plwindow&amp;uu=/upload/window/REPORT/LGH-TW18-024.pdf","1등급"),IF(X689&lt;=1.2,HYPERLINK("http://www.lxhausys.co.kr/popup/rn/download/downloadPopup.jsp?from=plwindow&amp;uu=/upload/window/REPORT/LGH-TW18-024.pdf","2등급"),IF(X689&lt;=1.8,HYPERLINK("http://www.lxhausys.co.kr/popup/rn/download/downloadPopup.jsp?from=plwindow&amp;uu=/upload/window/REPORT/LGH-TW18-024.pdf","3등급"),IF(X689&lt;=2.3,HYPERLINK("http://www.lxhausys.co.kr/popup/rn/download/downloadPopup.jsp?from=plwindow&amp;uu=/upload/window/REPORT/LGH-TW18-024.pdf","4등급"),IF(X689&lt;=2.8,HYPERLINK("http://www.lxhausys.co.kr/popup/rn/download/downloadPopup.jsp?from=plwindow&amp;uu=/upload/window/REPORT/LGH-TW18-024.pdf","5등급"),HYPERLINK("http://www.lxhausys.co.kr/popup/rn/download/downloadPopup.jsp?from=plwindow&amp;uu=/upload/window/REPORT/LGH-TW18-024.pdf","등급외"))))))</f>
        <v>2등급</v>
      </c>
      <c r="L689" s="5">
        <v>0.95660000000000001</v>
      </c>
      <c r="M689" s="5" t="s">
        <v>22</v>
      </c>
      <c r="N689" s="5" t="s">
        <v>607</v>
      </c>
      <c r="O689" s="5" t="s">
        <v>19</v>
      </c>
      <c r="P689" s="5" t="s">
        <v>19</v>
      </c>
      <c r="Q689" s="5" t="s">
        <v>19</v>
      </c>
      <c r="R689" s="5" t="s">
        <v>19</v>
      </c>
      <c r="S689" s="5" t="s">
        <v>19</v>
      </c>
      <c r="T689" s="5" t="s">
        <v>19</v>
      </c>
      <c r="U689" s="5" t="s">
        <v>19</v>
      </c>
      <c r="V689" s="5" t="s">
        <v>19</v>
      </c>
      <c r="W689" s="5" t="s">
        <v>19</v>
      </c>
      <c r="X689" s="19">
        <f t="shared" si="4"/>
        <v>0.95660000000000001</v>
      </c>
    </row>
    <row r="690" spans="1:24">
      <c r="A690" t="s">
        <v>175</v>
      </c>
      <c r="B690" t="s">
        <v>19</v>
      </c>
      <c r="C690" t="s">
        <v>20</v>
      </c>
      <c r="D690" t="s">
        <v>68</v>
      </c>
      <c r="E690" t="s">
        <v>19</v>
      </c>
      <c r="F690" t="s">
        <v>19</v>
      </c>
      <c r="G690" t="s">
        <v>19</v>
      </c>
      <c r="H690" t="s">
        <v>126</v>
      </c>
      <c r="I690" t="s">
        <v>19</v>
      </c>
      <c r="J690" t="s">
        <v>74</v>
      </c>
      <c r="K690" s="21" t="str">
        <f>IF(X690&lt;=0.9,HYPERLINK("http://www.lxhausys.co.kr/popup/rn/download/downloadPopup.jsp?from=plwindow&amp;uu=/upload/window/REPORT/LGH-TW18-025.pdf","1등급"),IF(X690&lt;=1.2,HYPERLINK("http://www.lxhausys.co.kr/popup/rn/download/downloadPopup.jsp?from=plwindow&amp;uu=/upload/window/REPORT/LGH-TW18-025.pdf","2등급"),IF(X690&lt;=1.8,HYPERLINK("http://www.lxhausys.co.kr/popup/rn/download/downloadPopup.jsp?from=plwindow&amp;uu=/upload/window/REPORT/LGH-TW18-025.pdf","3등급"),IF(X690&lt;=2.3,HYPERLINK("http://www.lxhausys.co.kr/popup/rn/download/downloadPopup.jsp?from=plwindow&amp;uu=/upload/window/REPORT/LGH-TW18-025.pdf","4등급"),IF(X690&lt;=2.8,HYPERLINK("http://www.lxhausys.co.kr/popup/rn/download/downloadPopup.jsp?from=plwindow&amp;uu=/upload/window/REPORT/LGH-TW18-025.pdf","5등급"),HYPERLINK("http://www.lxhausys.co.kr/popup/rn/download/downloadPopup.jsp?from=plwindow&amp;uu=/upload/window/REPORT/LGH-TW18-025.pdf","등급외"))))))</f>
        <v>1등급</v>
      </c>
      <c r="L690" s="5">
        <v>0.85799999999999998</v>
      </c>
      <c r="M690" s="5" t="s">
        <v>22</v>
      </c>
      <c r="N690" s="5" t="s">
        <v>607</v>
      </c>
      <c r="O690" s="5" t="s">
        <v>19</v>
      </c>
      <c r="P690" s="5" t="s">
        <v>19</v>
      </c>
      <c r="Q690" s="5" t="s">
        <v>19</v>
      </c>
      <c r="R690" s="5" t="s">
        <v>19</v>
      </c>
      <c r="S690" s="5" t="s">
        <v>19</v>
      </c>
      <c r="T690" s="5" t="s">
        <v>19</v>
      </c>
      <c r="U690" s="5" t="s">
        <v>19</v>
      </c>
      <c r="V690" s="5" t="s">
        <v>19</v>
      </c>
      <c r="W690" s="5" t="s">
        <v>19</v>
      </c>
      <c r="X690" s="19">
        <f t="shared" si="4"/>
        <v>0.85799999999999998</v>
      </c>
    </row>
    <row r="691" spans="1:24">
      <c r="A691" t="s">
        <v>175</v>
      </c>
      <c r="B691" t="s">
        <v>19</v>
      </c>
      <c r="C691" t="s">
        <v>20</v>
      </c>
      <c r="D691" t="s">
        <v>68</v>
      </c>
      <c r="E691" t="s">
        <v>19</v>
      </c>
      <c r="F691" t="s">
        <v>19</v>
      </c>
      <c r="G691" t="s">
        <v>19</v>
      </c>
      <c r="H691" t="s">
        <v>102</v>
      </c>
      <c r="I691" t="s">
        <v>19</v>
      </c>
      <c r="J691" t="s">
        <v>74</v>
      </c>
      <c r="K691" s="21" t="str">
        <f>IF(X691&lt;=0.9,HYPERLINK("http://www.lxhausys.co.kr/popup/rn/download/downloadPopup.jsp?from=plwindow&amp;uu=/upload/window/REPORT/LGH-TW18-026.pdf","1등급"),IF(X691&lt;=1.2,HYPERLINK("http://www.lxhausys.co.kr/popup/rn/download/downloadPopup.jsp?from=plwindow&amp;uu=/upload/window/REPORT/LGH-TW18-026.pdf","2등급"),IF(X691&lt;=1.8,HYPERLINK("http://www.lxhausys.co.kr/popup/rn/download/downloadPopup.jsp?from=plwindow&amp;uu=/upload/window/REPORT/LGH-TW18-026.pdf","3등급"),IF(X691&lt;=2.3,HYPERLINK("http://www.lxhausys.co.kr/popup/rn/download/downloadPopup.jsp?from=plwindow&amp;uu=/upload/window/REPORT/LGH-TW18-026.pdf","4등급"),IF(X691&lt;=2.8,HYPERLINK("http://www.lxhausys.co.kr/popup/rn/download/downloadPopup.jsp?from=plwindow&amp;uu=/upload/window/REPORT/LGH-TW18-026.pdf","5등급"),HYPERLINK("http://www.lxhausys.co.kr/popup/rn/download/downloadPopup.jsp?from=plwindow&amp;uu=/upload/window/REPORT/LGH-TW18-026.pdf","등급외"))))))</f>
        <v>2등급</v>
      </c>
      <c r="L691" s="5">
        <v>0.94540000000000002</v>
      </c>
      <c r="M691" s="5" t="s">
        <v>22</v>
      </c>
      <c r="N691" s="5" t="s">
        <v>607</v>
      </c>
      <c r="O691" s="5" t="s">
        <v>19</v>
      </c>
      <c r="P691" s="5" t="s">
        <v>19</v>
      </c>
      <c r="Q691" s="5" t="s">
        <v>19</v>
      </c>
      <c r="R691" s="5" t="s">
        <v>19</v>
      </c>
      <c r="S691" s="5" t="s">
        <v>19</v>
      </c>
      <c r="T691" s="5" t="s">
        <v>19</v>
      </c>
      <c r="U691" s="5" t="s">
        <v>19</v>
      </c>
      <c r="V691" s="5" t="s">
        <v>19</v>
      </c>
      <c r="W691" s="5" t="s">
        <v>19</v>
      </c>
      <c r="X691" s="19">
        <f t="shared" si="4"/>
        <v>0.94540000000000002</v>
      </c>
    </row>
    <row r="692" spans="1:24">
      <c r="A692" t="s">
        <v>42</v>
      </c>
      <c r="B692" t="s">
        <v>43</v>
      </c>
      <c r="C692" t="s">
        <v>34</v>
      </c>
      <c r="D692" t="s">
        <v>56</v>
      </c>
      <c r="E692" t="s">
        <v>19</v>
      </c>
      <c r="F692" t="s">
        <v>19</v>
      </c>
      <c r="G692" t="s">
        <v>19</v>
      </c>
      <c r="H692" t="s">
        <v>19</v>
      </c>
      <c r="I692" t="s">
        <v>19</v>
      </c>
      <c r="J692" t="s">
        <v>74</v>
      </c>
      <c r="K692" s="21" t="s">
        <v>607</v>
      </c>
      <c r="L692" s="5" t="s">
        <v>19</v>
      </c>
      <c r="M692" s="5" t="s">
        <v>19</v>
      </c>
      <c r="N692" s="5" t="str">
        <f>HYPERLINK("http://www.lghausys.co.kr/popup/rn/download/downloadPopup.jsp?from=plwindow&amp;uu=/upload/window/REPORT/LGH-TA18-118.pdf","1.8073")</f>
        <v>1.8073</v>
      </c>
      <c r="O692" s="5" t="s">
        <v>19</v>
      </c>
      <c r="P692" s="5" t="s">
        <v>19</v>
      </c>
      <c r="Q692" s="5" t="s">
        <v>19</v>
      </c>
      <c r="R692" s="5" t="s">
        <v>19</v>
      </c>
      <c r="S692" s="5" t="s">
        <v>19</v>
      </c>
      <c r="T692" s="5" t="s">
        <v>19</v>
      </c>
      <c r="U692" s="5" t="s">
        <v>19</v>
      </c>
      <c r="V692" s="5" t="s">
        <v>19</v>
      </c>
      <c r="W692" s="5" t="s">
        <v>75</v>
      </c>
      <c r="X692"/>
    </row>
    <row r="693" spans="1:24">
      <c r="A693" t="s">
        <v>52</v>
      </c>
      <c r="B693" t="s">
        <v>19</v>
      </c>
      <c r="C693" t="s">
        <v>13</v>
      </c>
      <c r="D693" t="s">
        <v>21</v>
      </c>
      <c r="E693" t="s">
        <v>19</v>
      </c>
      <c r="F693" t="s">
        <v>19</v>
      </c>
      <c r="G693" t="s">
        <v>19</v>
      </c>
      <c r="H693" t="s">
        <v>21</v>
      </c>
      <c r="I693" t="s">
        <v>19</v>
      </c>
      <c r="J693" t="s">
        <v>145</v>
      </c>
      <c r="K693" s="21" t="s">
        <v>607</v>
      </c>
      <c r="L693" s="5" t="s">
        <v>19</v>
      </c>
      <c r="M693" s="5" t="s">
        <v>19</v>
      </c>
      <c r="N693" s="5" t="s">
        <v>19</v>
      </c>
      <c r="O693" s="5" t="s">
        <v>19</v>
      </c>
      <c r="P693" s="5" t="s">
        <v>19</v>
      </c>
      <c r="Q693" s="5" t="s">
        <v>19</v>
      </c>
      <c r="R693" s="5" t="s">
        <v>19</v>
      </c>
      <c r="S693" s="5" t="str">
        <f>HYPERLINK("http://www.lghausys.co.kr/popup/rn/download/downloadPopup.jsp?from=plwindow&amp;uu=/upload/window/REPORT/LGH-DA18-007.pdf","결로발생없음")</f>
        <v>결로발생없음</v>
      </c>
      <c r="T693" s="5" t="s">
        <v>19</v>
      </c>
      <c r="U693" s="5" t="s">
        <v>19</v>
      </c>
      <c r="V693" s="5" t="s">
        <v>19</v>
      </c>
      <c r="W693" s="5" t="s">
        <v>75</v>
      </c>
      <c r="X693"/>
    </row>
    <row r="694" spans="1:24">
      <c r="A694" t="s">
        <v>73</v>
      </c>
      <c r="B694" t="s">
        <v>19</v>
      </c>
      <c r="C694" t="s">
        <v>14</v>
      </c>
      <c r="D694" t="s">
        <v>28</v>
      </c>
      <c r="E694" t="s">
        <v>19</v>
      </c>
      <c r="F694" t="s">
        <v>19</v>
      </c>
      <c r="G694" t="s">
        <v>19</v>
      </c>
      <c r="H694" t="s">
        <v>25</v>
      </c>
      <c r="I694" t="s">
        <v>19</v>
      </c>
      <c r="J694" t="s">
        <v>74</v>
      </c>
      <c r="K694" s="21" t="s">
        <v>607</v>
      </c>
      <c r="L694" s="5" t="s">
        <v>19</v>
      </c>
      <c r="M694" s="5" t="s">
        <v>19</v>
      </c>
      <c r="N694" s="5" t="s">
        <v>19</v>
      </c>
      <c r="O694" s="5" t="s">
        <v>19</v>
      </c>
      <c r="P694" s="5" t="s">
        <v>19</v>
      </c>
      <c r="Q694" s="5" t="s">
        <v>19</v>
      </c>
      <c r="R694" s="5" t="s">
        <v>19</v>
      </c>
      <c r="S694" s="5" t="s">
        <v>19</v>
      </c>
      <c r="T694" s="5" t="str">
        <f>HYPERLINK("http://www.lghausys.co.kr/popup/rn/download/downloadPopup.jsp?from=plwindow&amp;uu=/upload/window/REPORT/LGH-DA18-008.pdf","결로발생없음")</f>
        <v>결로발생없음</v>
      </c>
      <c r="U694" s="5" t="s">
        <v>19</v>
      </c>
      <c r="V694" s="5" t="s">
        <v>19</v>
      </c>
      <c r="W694" s="5" t="s">
        <v>75</v>
      </c>
      <c r="X694"/>
    </row>
    <row r="695" spans="1:24">
      <c r="A695" t="s">
        <v>73</v>
      </c>
      <c r="B695" t="s">
        <v>19</v>
      </c>
      <c r="C695" t="s">
        <v>14</v>
      </c>
      <c r="D695" t="s">
        <v>201</v>
      </c>
      <c r="E695" t="s">
        <v>19</v>
      </c>
      <c r="F695" t="s">
        <v>19</v>
      </c>
      <c r="G695" t="s">
        <v>19</v>
      </c>
      <c r="H695" t="s">
        <v>25</v>
      </c>
      <c r="I695" t="s">
        <v>19</v>
      </c>
      <c r="J695" t="s">
        <v>74</v>
      </c>
      <c r="K695" s="21" t="s">
        <v>607</v>
      </c>
      <c r="L695" s="5" t="s">
        <v>19</v>
      </c>
      <c r="M695" s="5" t="s">
        <v>19</v>
      </c>
      <c r="N695" s="5" t="s">
        <v>19</v>
      </c>
      <c r="O695" s="5" t="s">
        <v>19</v>
      </c>
      <c r="P695" s="5" t="s">
        <v>19</v>
      </c>
      <c r="Q695" s="5" t="s">
        <v>19</v>
      </c>
      <c r="R695" s="5" t="s">
        <v>19</v>
      </c>
      <c r="S695" s="5" t="s">
        <v>19</v>
      </c>
      <c r="T695" s="5" t="str">
        <f>HYPERLINK("http://www.lghausys.co.kr/popup/rn/download/downloadPopup.jsp?from=plwindow&amp;uu=/upload/window/REPORT/LGH-DA18-009.pdf","결로발생없음")</f>
        <v>결로발생없음</v>
      </c>
      <c r="U695" s="5" t="s">
        <v>19</v>
      </c>
      <c r="V695" s="5" t="s">
        <v>19</v>
      </c>
      <c r="W695" s="5" t="s">
        <v>75</v>
      </c>
      <c r="X695"/>
    </row>
    <row r="696" spans="1:24">
      <c r="A696" t="s">
        <v>30</v>
      </c>
      <c r="B696" t="s">
        <v>19</v>
      </c>
      <c r="C696" t="s">
        <v>14</v>
      </c>
      <c r="D696" t="s">
        <v>28</v>
      </c>
      <c r="E696" t="s">
        <v>19</v>
      </c>
      <c r="F696" t="s">
        <v>19</v>
      </c>
      <c r="G696" t="s">
        <v>19</v>
      </c>
      <c r="H696" t="s">
        <v>25</v>
      </c>
      <c r="I696" t="s">
        <v>19</v>
      </c>
      <c r="J696" t="s">
        <v>145</v>
      </c>
      <c r="K696" s="21" t="s">
        <v>607</v>
      </c>
      <c r="L696" s="5" t="s">
        <v>19</v>
      </c>
      <c r="M696" s="5" t="s">
        <v>19</v>
      </c>
      <c r="N696" s="5" t="s">
        <v>19</v>
      </c>
      <c r="O696" s="5" t="s">
        <v>19</v>
      </c>
      <c r="P696" s="5" t="s">
        <v>19</v>
      </c>
      <c r="Q696" s="5" t="s">
        <v>19</v>
      </c>
      <c r="R696" s="5" t="s">
        <v>19</v>
      </c>
      <c r="S696" s="5" t="s">
        <v>19</v>
      </c>
      <c r="T696" s="5" t="str">
        <f>HYPERLINK("http://www.lghausys.co.kr/popup/rn/download/downloadPopup.jsp?from=plwindow&amp;uu=/upload/window/REPORT/LGH-DA18-010.pdf","결로발생없음")</f>
        <v>결로발생없음</v>
      </c>
      <c r="U696" s="5" t="s">
        <v>19</v>
      </c>
      <c r="V696" s="5" t="s">
        <v>19</v>
      </c>
      <c r="W696" s="5" t="s">
        <v>75</v>
      </c>
      <c r="X696"/>
    </row>
    <row r="697" spans="1:24">
      <c r="A697" t="s">
        <v>135</v>
      </c>
      <c r="B697" t="s">
        <v>19</v>
      </c>
      <c r="C697" t="s">
        <v>34</v>
      </c>
      <c r="D697" t="s">
        <v>32</v>
      </c>
      <c r="E697" t="s">
        <v>181</v>
      </c>
      <c r="F697" t="s">
        <v>19</v>
      </c>
      <c r="G697" t="s">
        <v>19</v>
      </c>
      <c r="H697" t="s">
        <v>32</v>
      </c>
      <c r="I697" t="s">
        <v>19</v>
      </c>
      <c r="J697" t="s">
        <v>74</v>
      </c>
      <c r="K697" s="21" t="s">
        <v>607</v>
      </c>
      <c r="L697" s="5" t="s">
        <v>19</v>
      </c>
      <c r="M697" s="5" t="s">
        <v>19</v>
      </c>
      <c r="N697" s="5" t="str">
        <f>HYPERLINK("http://www.lghausys.co.kr/popup/rn/download/downloadPopup.jsp?from=plwindow&amp;uu=/upload/window/REPORT/LGH-TA18-122.pdf","1.3355")</f>
        <v>1.3355</v>
      </c>
      <c r="O697" s="5" t="s">
        <v>19</v>
      </c>
      <c r="P697" s="5" t="s">
        <v>19</v>
      </c>
      <c r="Q697" s="5" t="s">
        <v>19</v>
      </c>
      <c r="R697" s="5" t="s">
        <v>19</v>
      </c>
      <c r="S697" s="5" t="s">
        <v>19</v>
      </c>
      <c r="T697" s="5" t="s">
        <v>19</v>
      </c>
      <c r="U697" s="5" t="s">
        <v>19</v>
      </c>
      <c r="V697" s="5" t="s">
        <v>19</v>
      </c>
      <c r="W697" s="5" t="s">
        <v>75</v>
      </c>
      <c r="X697"/>
    </row>
    <row r="698" spans="1:24">
      <c r="A698" t="s">
        <v>133</v>
      </c>
      <c r="B698" t="s">
        <v>19</v>
      </c>
      <c r="C698" t="s">
        <v>34</v>
      </c>
      <c r="D698" t="s">
        <v>32</v>
      </c>
      <c r="E698" t="s">
        <v>181</v>
      </c>
      <c r="F698" t="s">
        <v>19</v>
      </c>
      <c r="G698" t="s">
        <v>19</v>
      </c>
      <c r="H698" t="s">
        <v>32</v>
      </c>
      <c r="I698" t="s">
        <v>19</v>
      </c>
      <c r="J698" t="s">
        <v>74</v>
      </c>
      <c r="K698" s="21" t="s">
        <v>607</v>
      </c>
      <c r="L698" s="5" t="s">
        <v>19</v>
      </c>
      <c r="M698" s="5" t="s">
        <v>19</v>
      </c>
      <c r="N698" s="5" t="str">
        <f>HYPERLINK("http://www.lghausys.co.kr/popup/rn/download/downloadPopup.jsp?from=plwindow&amp;uu=/upload/window/REPORT/LGH-TA18-123.pdf","1.2609")</f>
        <v>1.2609</v>
      </c>
      <c r="O698" s="5" t="s">
        <v>19</v>
      </c>
      <c r="P698" s="5" t="s">
        <v>19</v>
      </c>
      <c r="Q698" s="5" t="s">
        <v>19</v>
      </c>
      <c r="R698" s="5" t="s">
        <v>19</v>
      </c>
      <c r="S698" s="5" t="s">
        <v>19</v>
      </c>
      <c r="T698" s="5" t="s">
        <v>19</v>
      </c>
      <c r="U698" s="5" t="s">
        <v>19</v>
      </c>
      <c r="V698" s="5" t="s">
        <v>19</v>
      </c>
      <c r="W698" s="5" t="s">
        <v>75</v>
      </c>
      <c r="X698"/>
    </row>
    <row r="699" spans="1:24">
      <c r="A699" t="s">
        <v>144</v>
      </c>
      <c r="B699" t="s">
        <v>19</v>
      </c>
      <c r="C699" t="s">
        <v>20</v>
      </c>
      <c r="D699" t="s">
        <v>126</v>
      </c>
      <c r="E699" t="s">
        <v>19</v>
      </c>
      <c r="F699" t="s">
        <v>19</v>
      </c>
      <c r="G699" t="s">
        <v>19</v>
      </c>
      <c r="H699" t="s">
        <v>126</v>
      </c>
      <c r="I699" t="s">
        <v>19</v>
      </c>
      <c r="J699" t="s">
        <v>74</v>
      </c>
      <c r="K699" s="21" t="str">
        <f>IF(X699&lt;=0.9,HYPERLINK("http://www.lxhausys.co.kr/popup/rn/download/downloadPopup.jsp?from=plwindow&amp;uu=/upload/window/REPORT/LGH-TW18-031.pdf","1등급"),IF(X699&lt;=1.2,HYPERLINK("http://www.lxhausys.co.kr/popup/rn/download/downloadPopup.jsp?from=plwindow&amp;uu=/upload/window/REPORT/LGH-TW18-031.pdf","2등급"),IF(X699&lt;=1.8,HYPERLINK("http://www.lxhausys.co.kr/popup/rn/download/downloadPopup.jsp?from=plwindow&amp;uu=/upload/window/REPORT/LGH-TW18-031.pdf","3등급"),IF(X699&lt;=2.3,HYPERLINK("http://www.lxhausys.co.kr/popup/rn/download/downloadPopup.jsp?from=plwindow&amp;uu=/upload/window/REPORT/LGH-TW18-031.pdf","4등급"),IF(X699&lt;=2.8,HYPERLINK("http://www.lxhausys.co.kr/popup/rn/download/downloadPopup.jsp?from=plwindow&amp;uu=/upload/window/REPORT/LGH-TW18-031.pdf","5등급"),HYPERLINK("http://www.lxhausys.co.kr/popup/rn/download/downloadPopup.jsp?from=plwindow&amp;uu=/upload/window/REPORT/LGH-TW18-031.pdf","등급외"))))))</f>
        <v>1등급</v>
      </c>
      <c r="L699" s="5">
        <v>0.65880000000000005</v>
      </c>
      <c r="M699" s="5" t="s">
        <v>22</v>
      </c>
      <c r="N699" s="5" t="s">
        <v>607</v>
      </c>
      <c r="O699" s="5" t="s">
        <v>19</v>
      </c>
      <c r="P699" s="5" t="s">
        <v>19</v>
      </c>
      <c r="Q699" s="5" t="s">
        <v>19</v>
      </c>
      <c r="R699" s="5" t="s">
        <v>19</v>
      </c>
      <c r="S699" s="5" t="s">
        <v>19</v>
      </c>
      <c r="T699" s="5" t="s">
        <v>19</v>
      </c>
      <c r="U699" s="5" t="s">
        <v>19</v>
      </c>
      <c r="V699" s="5" t="s">
        <v>19</v>
      </c>
      <c r="W699" s="5" t="s">
        <v>19</v>
      </c>
      <c r="X699" s="19">
        <f>L699</f>
        <v>0.65880000000000005</v>
      </c>
    </row>
    <row r="700" spans="1:24">
      <c r="A700" t="s">
        <v>144</v>
      </c>
      <c r="B700" t="s">
        <v>19</v>
      </c>
      <c r="C700" t="s">
        <v>20</v>
      </c>
      <c r="D700" t="s">
        <v>126</v>
      </c>
      <c r="E700" t="s">
        <v>19</v>
      </c>
      <c r="F700" t="s">
        <v>19</v>
      </c>
      <c r="G700" t="s">
        <v>19</v>
      </c>
      <c r="H700" t="s">
        <v>68</v>
      </c>
      <c r="I700" t="s">
        <v>19</v>
      </c>
      <c r="J700" t="s">
        <v>74</v>
      </c>
      <c r="K700" s="21" t="str">
        <f>IF(X700&lt;=0.9,HYPERLINK("http://www.lxhausys.co.kr/popup/rn/download/downloadPopup.jsp?from=plwindow&amp;uu=/upload/window/REPORT/LGH-TW18-032.pdf","1등급"),IF(X700&lt;=1.2,HYPERLINK("http://www.lxhausys.co.kr/popup/rn/download/downloadPopup.jsp?from=plwindow&amp;uu=/upload/window/REPORT/LGH-TW18-032.pdf","2등급"),IF(X700&lt;=1.8,HYPERLINK("http://www.lxhausys.co.kr/popup/rn/download/downloadPopup.jsp?from=plwindow&amp;uu=/upload/window/REPORT/LGH-TW18-032.pdf","3등급"),IF(X700&lt;=2.3,HYPERLINK("http://www.lxhausys.co.kr/popup/rn/download/downloadPopup.jsp?from=plwindow&amp;uu=/upload/window/REPORT/LGH-TW18-032.pdf","4등급"),IF(X700&lt;=2.8,HYPERLINK("http://www.lxhausys.co.kr/popup/rn/download/downloadPopup.jsp?from=plwindow&amp;uu=/upload/window/REPORT/LGH-TW18-032.pdf","5등급"),HYPERLINK("http://www.lxhausys.co.kr/popup/rn/download/downloadPopup.jsp?from=plwindow&amp;uu=/upload/window/REPORT/LGH-TW18-032.pdf","등급외"))))))</f>
        <v>1등급</v>
      </c>
      <c r="L700" s="5">
        <v>0.89059999999999995</v>
      </c>
      <c r="M700" s="5" t="s">
        <v>22</v>
      </c>
      <c r="N700" s="5" t="s">
        <v>607</v>
      </c>
      <c r="O700" s="5" t="s">
        <v>19</v>
      </c>
      <c r="P700" s="5" t="s">
        <v>19</v>
      </c>
      <c r="Q700" s="5" t="s">
        <v>19</v>
      </c>
      <c r="R700" s="5" t="s">
        <v>19</v>
      </c>
      <c r="S700" s="5" t="s">
        <v>19</v>
      </c>
      <c r="T700" s="5" t="s">
        <v>19</v>
      </c>
      <c r="U700" s="5" t="s">
        <v>19</v>
      </c>
      <c r="V700" s="5" t="s">
        <v>19</v>
      </c>
      <c r="W700" s="5" t="s">
        <v>19</v>
      </c>
      <c r="X700" s="19">
        <f>L700</f>
        <v>0.89059999999999995</v>
      </c>
    </row>
    <row r="701" spans="1:24">
      <c r="A701" t="s">
        <v>144</v>
      </c>
      <c r="B701" t="s">
        <v>19</v>
      </c>
      <c r="C701" t="s">
        <v>20</v>
      </c>
      <c r="D701" t="s">
        <v>102</v>
      </c>
      <c r="E701" t="s">
        <v>19</v>
      </c>
      <c r="F701" t="s">
        <v>19</v>
      </c>
      <c r="G701" t="s">
        <v>19</v>
      </c>
      <c r="H701" t="s">
        <v>68</v>
      </c>
      <c r="I701" t="s">
        <v>19</v>
      </c>
      <c r="J701" t="s">
        <v>74</v>
      </c>
      <c r="K701" s="21" t="str">
        <f>IF(X701&lt;=0.9,HYPERLINK("http://www.lxhausys.co.kr/popup/rn/download/downloadPopup.jsp?from=plwindow&amp;uu=/upload/window/REPORT/LGH-TW18-033.pdf","1등급"),IF(X701&lt;=1.2,HYPERLINK("http://www.lxhausys.co.kr/popup/rn/download/downloadPopup.jsp?from=plwindow&amp;uu=/upload/window/REPORT/LGH-TW18-033.pdf","2등급"),IF(X701&lt;=1.8,HYPERLINK("http://www.lxhausys.co.kr/popup/rn/download/downloadPopup.jsp?from=plwindow&amp;uu=/upload/window/REPORT/LGH-TW18-033.pdf","3등급"),IF(X701&lt;=2.3,HYPERLINK("http://www.lxhausys.co.kr/popup/rn/download/downloadPopup.jsp?from=plwindow&amp;uu=/upload/window/REPORT/LGH-TW18-033.pdf","4등급"),IF(X701&lt;=2.8,HYPERLINK("http://www.lxhausys.co.kr/popup/rn/download/downloadPopup.jsp?from=plwindow&amp;uu=/upload/window/REPORT/LGH-TW18-033.pdf","5등급"),HYPERLINK("http://www.lxhausys.co.kr/popup/rn/download/downloadPopup.jsp?from=plwindow&amp;uu=/upload/window/REPORT/LGH-TW18-033.pdf","등급외"))))))</f>
        <v>2등급</v>
      </c>
      <c r="L701" s="5">
        <v>0.93440000000000001</v>
      </c>
      <c r="M701" s="5" t="s">
        <v>22</v>
      </c>
      <c r="N701" s="5" t="s">
        <v>607</v>
      </c>
      <c r="O701" s="5" t="s">
        <v>19</v>
      </c>
      <c r="P701" s="5" t="s">
        <v>19</v>
      </c>
      <c r="Q701" s="5" t="s">
        <v>19</v>
      </c>
      <c r="R701" s="5" t="s">
        <v>19</v>
      </c>
      <c r="S701" s="5" t="s">
        <v>19</v>
      </c>
      <c r="T701" s="5" t="s">
        <v>19</v>
      </c>
      <c r="U701" s="5" t="s">
        <v>19</v>
      </c>
      <c r="V701" s="5" t="s">
        <v>19</v>
      </c>
      <c r="W701" s="5" t="s">
        <v>19</v>
      </c>
      <c r="X701" s="19">
        <f>L701</f>
        <v>0.93440000000000001</v>
      </c>
    </row>
    <row r="702" spans="1:24">
      <c r="A702" t="s">
        <v>144</v>
      </c>
      <c r="B702" t="s">
        <v>19</v>
      </c>
      <c r="C702" t="s">
        <v>20</v>
      </c>
      <c r="D702" t="s">
        <v>68</v>
      </c>
      <c r="E702" t="s">
        <v>19</v>
      </c>
      <c r="F702" t="s">
        <v>19</v>
      </c>
      <c r="G702" t="s">
        <v>19</v>
      </c>
      <c r="H702" t="s">
        <v>68</v>
      </c>
      <c r="I702" t="s">
        <v>19</v>
      </c>
      <c r="J702" t="s">
        <v>74</v>
      </c>
      <c r="K702" s="21" t="str">
        <f>IF(X702&lt;=0.9,HYPERLINK("http://www.lxhausys.co.kr/popup/rn/download/downloadPopup.jsp?from=plwindow&amp;uu=/upload/window/REPORT/LGH-TW18-034.pdf","1등급"),IF(X702&lt;=1.2,HYPERLINK("http://www.lxhausys.co.kr/popup/rn/download/downloadPopup.jsp?from=plwindow&amp;uu=/upload/window/REPORT/LGH-TW18-034.pdf","2등급"),IF(X702&lt;=1.8,HYPERLINK("http://www.lxhausys.co.kr/popup/rn/download/downloadPopup.jsp?from=plwindow&amp;uu=/upload/window/REPORT/LGH-TW18-034.pdf","3등급"),IF(X702&lt;=2.3,HYPERLINK("http://www.lxhausys.co.kr/popup/rn/download/downloadPopup.jsp?from=plwindow&amp;uu=/upload/window/REPORT/LGH-TW18-034.pdf","4등급"),IF(X702&lt;=2.8,HYPERLINK("http://www.lxhausys.co.kr/popup/rn/download/downloadPopup.jsp?from=plwindow&amp;uu=/upload/window/REPORT/LGH-TW18-034.pdf","5등급"),HYPERLINK("http://www.lxhausys.co.kr/popup/rn/download/downloadPopup.jsp?from=plwindow&amp;uu=/upload/window/REPORT/LGH-TW18-034.pdf","등급외"))))))</f>
        <v>2등급</v>
      </c>
      <c r="L702" s="5">
        <v>1.1836</v>
      </c>
      <c r="M702" s="5" t="s">
        <v>22</v>
      </c>
      <c r="N702" s="5" t="s">
        <v>607</v>
      </c>
      <c r="O702" s="5" t="s">
        <v>19</v>
      </c>
      <c r="P702" s="5" t="s">
        <v>19</v>
      </c>
      <c r="Q702" s="5" t="s">
        <v>19</v>
      </c>
      <c r="R702" s="5" t="s">
        <v>19</v>
      </c>
      <c r="S702" s="5" t="s">
        <v>19</v>
      </c>
      <c r="T702" s="5" t="s">
        <v>19</v>
      </c>
      <c r="U702" s="5" t="s">
        <v>19</v>
      </c>
      <c r="V702" s="5" t="s">
        <v>19</v>
      </c>
      <c r="W702" s="5" t="s">
        <v>19</v>
      </c>
      <c r="X702" s="19">
        <f>L702</f>
        <v>1.1836</v>
      </c>
    </row>
    <row r="703" spans="1:24">
      <c r="A703" t="s">
        <v>133</v>
      </c>
      <c r="B703" t="s">
        <v>19</v>
      </c>
      <c r="C703" t="s">
        <v>14</v>
      </c>
      <c r="D703" t="s">
        <v>28</v>
      </c>
      <c r="E703" t="s">
        <v>96</v>
      </c>
      <c r="F703" t="s">
        <v>19</v>
      </c>
      <c r="G703" t="s">
        <v>19</v>
      </c>
      <c r="H703" t="s">
        <v>28</v>
      </c>
      <c r="I703" t="s">
        <v>19</v>
      </c>
      <c r="J703" t="s">
        <v>99</v>
      </c>
      <c r="K703" s="21" t="s">
        <v>607</v>
      </c>
      <c r="L703" s="5" t="s">
        <v>19</v>
      </c>
      <c r="M703" s="5" t="s">
        <v>19</v>
      </c>
      <c r="N703" s="5" t="s">
        <v>19</v>
      </c>
      <c r="O703" s="5" t="s">
        <v>19</v>
      </c>
      <c r="P703" s="5" t="s">
        <v>19</v>
      </c>
      <c r="Q703" s="5" t="s">
        <v>19</v>
      </c>
      <c r="R703" s="5" t="s">
        <v>19</v>
      </c>
      <c r="S703" s="5" t="s">
        <v>19</v>
      </c>
      <c r="T703" s="5" t="str">
        <f>HYPERLINK("http://www.lghausys.co.kr/popup/rn/download/downloadPopup.jsp?from=plwindow&amp;uu=/upload/window/REPORT/LGH-DA18-015.pdf","결로발생없음")</f>
        <v>결로발생없음</v>
      </c>
      <c r="U703" s="5" t="s">
        <v>19</v>
      </c>
      <c r="V703" s="5" t="s">
        <v>19</v>
      </c>
      <c r="W703" s="5" t="s">
        <v>75</v>
      </c>
      <c r="X703"/>
    </row>
    <row r="704" spans="1:24">
      <c r="A704" t="s">
        <v>60</v>
      </c>
      <c r="B704" t="s">
        <v>19</v>
      </c>
      <c r="C704" t="s">
        <v>31</v>
      </c>
      <c r="D704" t="s">
        <v>25</v>
      </c>
      <c r="E704" t="s">
        <v>19</v>
      </c>
      <c r="F704" t="s">
        <v>19</v>
      </c>
      <c r="G704" t="s">
        <v>19</v>
      </c>
      <c r="H704" t="s">
        <v>25</v>
      </c>
      <c r="I704" t="s">
        <v>19</v>
      </c>
      <c r="J704" t="s">
        <v>74</v>
      </c>
      <c r="K704" s="21" t="s">
        <v>607</v>
      </c>
      <c r="L704" s="5" t="s">
        <v>19</v>
      </c>
      <c r="M704" s="5" t="s">
        <v>19</v>
      </c>
      <c r="N704" s="5" t="s">
        <v>19</v>
      </c>
      <c r="O704" s="5" t="str">
        <f>HYPERLINK("http://www.lghausys.co.kr/popup/rn/download/downloadPopup.jsp?from=plwindow&amp;uu=/upload/window/REPORT/LGH-WA18-121.pdf","1등급")</f>
        <v>1등급</v>
      </c>
      <c r="P704" s="5" t="str">
        <f>HYPERLINK("http://www.lghausys.co.kr/popup/rn/download/downloadPopup.jsp?from=plwindow&amp;uu=/upload/window/REPORT/LGH-WA18-121.pdf","50등급")</f>
        <v>50등급</v>
      </c>
      <c r="Q704" s="5" t="str">
        <f>HYPERLINK("http://www.lghausys.co.kr/popup/rn/download/downloadPopup.jsp?from=plwindow&amp;uu=/upload/window/REPORT/LGH-WA18-121.pdf","400등급")</f>
        <v>400등급</v>
      </c>
      <c r="R704" s="5" t="s">
        <v>19</v>
      </c>
      <c r="S704" s="5" t="s">
        <v>19</v>
      </c>
      <c r="T704" s="5" t="s">
        <v>19</v>
      </c>
      <c r="U704" s="5" t="s">
        <v>19</v>
      </c>
      <c r="V704" s="5" t="s">
        <v>19</v>
      </c>
      <c r="W704" s="5" t="s">
        <v>152</v>
      </c>
      <c r="X704"/>
    </row>
    <row r="705" spans="1:24">
      <c r="A705" t="s">
        <v>202</v>
      </c>
      <c r="B705" t="s">
        <v>19</v>
      </c>
      <c r="C705" t="s">
        <v>31</v>
      </c>
      <c r="D705" t="s">
        <v>25</v>
      </c>
      <c r="E705" t="s">
        <v>19</v>
      </c>
      <c r="F705" t="s">
        <v>19</v>
      </c>
      <c r="G705" t="s">
        <v>19</v>
      </c>
      <c r="H705" t="s">
        <v>19</v>
      </c>
      <c r="I705" t="s">
        <v>19</v>
      </c>
      <c r="J705" t="s">
        <v>74</v>
      </c>
      <c r="K705" s="21" t="s">
        <v>607</v>
      </c>
      <c r="L705" s="5" t="s">
        <v>19</v>
      </c>
      <c r="M705" s="5" t="s">
        <v>19</v>
      </c>
      <c r="N705" s="5" t="s">
        <v>19</v>
      </c>
      <c r="O705" s="5" t="str">
        <f>HYPERLINK("http://www.lghausys.co.kr/popup/rn/download/downloadPopup.jsp?from=plwindow&amp;uu=/upload/window/REPORT/LGH-WA18-122.pdf","2등급")</f>
        <v>2등급</v>
      </c>
      <c r="P705" s="5" t="str">
        <f>HYPERLINK("http://www.lghausys.co.kr/popup/rn/download/downloadPopup.jsp?from=plwindow&amp;uu=/upload/window/REPORT/LGH-WA18-122.pdf","15등급")</f>
        <v>15등급</v>
      </c>
      <c r="Q705" s="5" t="str">
        <f>HYPERLINK("http://www.lghausys.co.kr/popup/rn/download/downloadPopup.jsp?from=plwindow&amp;uu=/upload/window/REPORT/LGH-WA18-122.pdf","240등급")</f>
        <v>240등급</v>
      </c>
      <c r="R705" s="5" t="s">
        <v>19</v>
      </c>
      <c r="S705" s="5" t="s">
        <v>19</v>
      </c>
      <c r="T705" s="5" t="s">
        <v>19</v>
      </c>
      <c r="U705" s="5" t="s">
        <v>19</v>
      </c>
      <c r="V705" s="5" t="s">
        <v>19</v>
      </c>
      <c r="W705" s="5" t="s">
        <v>152</v>
      </c>
      <c r="X705"/>
    </row>
    <row r="706" spans="1:24">
      <c r="A706" t="s">
        <v>133</v>
      </c>
      <c r="B706" t="s">
        <v>19</v>
      </c>
      <c r="C706" t="s">
        <v>31</v>
      </c>
      <c r="D706" t="s">
        <v>28</v>
      </c>
      <c r="E706" t="s">
        <v>96</v>
      </c>
      <c r="F706" t="s">
        <v>19</v>
      </c>
      <c r="G706" t="s">
        <v>19</v>
      </c>
      <c r="H706" t="s">
        <v>28</v>
      </c>
      <c r="I706" t="s">
        <v>19</v>
      </c>
      <c r="J706" t="s">
        <v>99</v>
      </c>
      <c r="K706" s="21" t="s">
        <v>607</v>
      </c>
      <c r="L706" s="5" t="s">
        <v>19</v>
      </c>
      <c r="M706" s="5" t="s">
        <v>19</v>
      </c>
      <c r="N706" s="5" t="s">
        <v>19</v>
      </c>
      <c r="O706" s="5" t="str">
        <f>HYPERLINK("http://www.lghausys.co.kr/popup/rn/download/downloadPopup.jsp?from=plwindow&amp;uu=/upload/window/REPORT/LGH-WA18-123.pdf","1등급")</f>
        <v>1등급</v>
      </c>
      <c r="P706" s="5" t="s">
        <v>19</v>
      </c>
      <c r="Q706" s="5" t="s">
        <v>19</v>
      </c>
      <c r="R706" s="5" t="s">
        <v>19</v>
      </c>
      <c r="S706" s="5" t="s">
        <v>19</v>
      </c>
      <c r="T706" s="5" t="s">
        <v>19</v>
      </c>
      <c r="U706" s="5" t="s">
        <v>19</v>
      </c>
      <c r="V706" s="5" t="s">
        <v>19</v>
      </c>
      <c r="W706" s="5" t="s">
        <v>152</v>
      </c>
      <c r="X706"/>
    </row>
    <row r="707" spans="1:24">
      <c r="A707" t="s">
        <v>203</v>
      </c>
      <c r="B707" t="s">
        <v>19</v>
      </c>
      <c r="C707" t="s">
        <v>31</v>
      </c>
      <c r="D707" t="s">
        <v>204</v>
      </c>
      <c r="E707" t="s">
        <v>19</v>
      </c>
      <c r="F707" t="s">
        <v>68</v>
      </c>
      <c r="G707" t="s">
        <v>182</v>
      </c>
      <c r="H707" t="s">
        <v>68</v>
      </c>
      <c r="I707" t="s">
        <v>19</v>
      </c>
      <c r="J707" t="s">
        <v>97</v>
      </c>
      <c r="K707" s="21" t="s">
        <v>607</v>
      </c>
      <c r="L707" s="5" t="s">
        <v>19</v>
      </c>
      <c r="M707" s="5" t="s">
        <v>19</v>
      </c>
      <c r="N707" s="5" t="s">
        <v>19</v>
      </c>
      <c r="O707" s="5" t="str">
        <f>HYPERLINK("http://www.lghausys.co.kr/popup/rn/download/downloadPopup.jsp?from=plwindow&amp;uu=/upload/window/REPORT/LGH-WA18-132.pdf","1등급")</f>
        <v>1등급</v>
      </c>
      <c r="P707" s="5" t="str">
        <f>HYPERLINK("http://www.lghausys.co.kr/popup/rn/download/downloadPopup.jsp?from=plwindow&amp;uu=/upload/window/REPORT/LGH-WA18-132.pdf","50등급")</f>
        <v>50등급</v>
      </c>
      <c r="Q707" s="5" t="str">
        <f>HYPERLINK("http://www.lghausys.co.kr/popup/rn/download/downloadPopup.jsp?from=plwindow&amp;uu=/upload/window/REPORT/LGH-WA18-132.pdf","400등급")</f>
        <v>400등급</v>
      </c>
      <c r="R707" s="5" t="s">
        <v>19</v>
      </c>
      <c r="S707" s="5" t="s">
        <v>19</v>
      </c>
      <c r="T707" s="5" t="s">
        <v>19</v>
      </c>
      <c r="U707" s="5" t="s">
        <v>19</v>
      </c>
      <c r="V707" s="5" t="s">
        <v>19</v>
      </c>
      <c r="W707" s="5" t="s">
        <v>152</v>
      </c>
      <c r="X707"/>
    </row>
    <row r="708" spans="1:24">
      <c r="A708" t="s">
        <v>205</v>
      </c>
      <c r="B708" t="s">
        <v>19</v>
      </c>
      <c r="C708" t="s">
        <v>31</v>
      </c>
      <c r="D708" t="s">
        <v>204</v>
      </c>
      <c r="E708" t="s">
        <v>19</v>
      </c>
      <c r="F708" t="s">
        <v>68</v>
      </c>
      <c r="G708" t="s">
        <v>182</v>
      </c>
      <c r="H708" t="s">
        <v>19</v>
      </c>
      <c r="I708" t="s">
        <v>19</v>
      </c>
      <c r="J708" t="s">
        <v>97</v>
      </c>
      <c r="K708" s="21" t="s">
        <v>607</v>
      </c>
      <c r="L708" s="5" t="s">
        <v>19</v>
      </c>
      <c r="M708" s="5" t="s">
        <v>19</v>
      </c>
      <c r="N708" s="5" t="s">
        <v>19</v>
      </c>
      <c r="O708" s="5" t="str">
        <f>HYPERLINK("http://www.lghausys.co.kr/popup/rn/download/downloadPopup.jsp?from=plwindow&amp;uu=/upload/window/REPORT/LGH-WA18-133.pdf","2등급")</f>
        <v>2등급</v>
      </c>
      <c r="P708" s="5" t="str">
        <f>HYPERLINK("http://www.lghausys.co.kr/popup/rn/download/downloadPopup.jsp?from=plwindow&amp;uu=/upload/window/REPORT/LGH-WA18-133.pdf","35등급")</f>
        <v>35등급</v>
      </c>
      <c r="Q708" s="5" t="str">
        <f>HYPERLINK("http://www.lghausys.co.kr/popup/rn/download/downloadPopup.jsp?from=plwindow&amp;uu=/upload/window/REPORT/LGH-WA18-133.pdf","300등급")</f>
        <v>300등급</v>
      </c>
      <c r="R708" s="5" t="s">
        <v>19</v>
      </c>
      <c r="S708" s="5" t="s">
        <v>19</v>
      </c>
      <c r="T708" s="5" t="s">
        <v>19</v>
      </c>
      <c r="U708" s="5" t="s">
        <v>19</v>
      </c>
      <c r="V708" s="5" t="s">
        <v>19</v>
      </c>
      <c r="W708" s="5" t="s">
        <v>152</v>
      </c>
      <c r="X708"/>
    </row>
    <row r="709" spans="1:24">
      <c r="A709" t="s">
        <v>72</v>
      </c>
      <c r="B709" t="s">
        <v>19</v>
      </c>
      <c r="C709" t="s">
        <v>34</v>
      </c>
      <c r="D709" t="s">
        <v>21</v>
      </c>
      <c r="E709" t="s">
        <v>19</v>
      </c>
      <c r="F709" t="s">
        <v>19</v>
      </c>
      <c r="G709" t="s">
        <v>19</v>
      </c>
      <c r="H709" t="s">
        <v>19</v>
      </c>
      <c r="I709" t="s">
        <v>19</v>
      </c>
      <c r="J709" t="s">
        <v>74</v>
      </c>
      <c r="K709" s="21" t="s">
        <v>607</v>
      </c>
      <c r="L709" s="5" t="s">
        <v>19</v>
      </c>
      <c r="M709" s="5" t="s">
        <v>19</v>
      </c>
      <c r="N709" s="5" t="str">
        <f>HYPERLINK("http://www.lghausys.co.kr/popup/rn/download/downloadPopup.jsp?from=plwindow&amp;uu=/upload/window/REPORT/LGH-TA18-128.pdf","1.846")</f>
        <v>1.846</v>
      </c>
      <c r="O709" s="5" t="s">
        <v>19</v>
      </c>
      <c r="P709" s="5" t="s">
        <v>19</v>
      </c>
      <c r="Q709" s="5" t="s">
        <v>19</v>
      </c>
      <c r="R709" s="5" t="s">
        <v>19</v>
      </c>
      <c r="S709" s="5" t="s">
        <v>19</v>
      </c>
      <c r="T709" s="5" t="s">
        <v>19</v>
      </c>
      <c r="U709" s="5" t="s">
        <v>19</v>
      </c>
      <c r="V709" s="5" t="s">
        <v>19</v>
      </c>
      <c r="W709" s="5" t="s">
        <v>75</v>
      </c>
      <c r="X709"/>
    </row>
    <row r="710" spans="1:24">
      <c r="A710" t="s">
        <v>52</v>
      </c>
      <c r="B710" t="s">
        <v>19</v>
      </c>
      <c r="C710" t="s">
        <v>24</v>
      </c>
      <c r="D710" t="s">
        <v>89</v>
      </c>
      <c r="E710" t="s">
        <v>19</v>
      </c>
      <c r="F710" t="s">
        <v>19</v>
      </c>
      <c r="G710" t="s">
        <v>19</v>
      </c>
      <c r="H710" t="s">
        <v>28</v>
      </c>
      <c r="I710" t="s">
        <v>19</v>
      </c>
      <c r="J710" t="s">
        <v>19</v>
      </c>
      <c r="K710" s="21" t="s">
        <v>607</v>
      </c>
      <c r="L710" s="5" t="s">
        <v>19</v>
      </c>
      <c r="M710" s="5" t="s">
        <v>19</v>
      </c>
      <c r="N710" s="5" t="s">
        <v>19</v>
      </c>
      <c r="O710" s="5" t="s">
        <v>19</v>
      </c>
      <c r="P710" s="5" t="s">
        <v>19</v>
      </c>
      <c r="Q710" s="5" t="s">
        <v>19</v>
      </c>
      <c r="R710" s="5" t="str">
        <f>HYPERLINK("http://www.lghausys.co.kr/popup/rn/download/downloadPopup.jsp?from=plwindow&amp;uu=/upload/window/REPORT/KICT-R-K-2018-00136-1-1.pdf","TS35등급,STC40")</f>
        <v>TS35등급,STC40</v>
      </c>
      <c r="S710" s="5" t="s">
        <v>19</v>
      </c>
      <c r="T710" s="5" t="s">
        <v>19</v>
      </c>
      <c r="U710" s="5" t="s">
        <v>19</v>
      </c>
      <c r="V710" s="5" t="s">
        <v>19</v>
      </c>
      <c r="W710" s="5" t="s">
        <v>19</v>
      </c>
      <c r="X710"/>
    </row>
    <row r="711" spans="1:24">
      <c r="A711" t="s">
        <v>72</v>
      </c>
      <c r="B711" t="s">
        <v>19</v>
      </c>
      <c r="C711" t="s">
        <v>31</v>
      </c>
      <c r="D711" t="s">
        <v>21</v>
      </c>
      <c r="E711" t="s">
        <v>19</v>
      </c>
      <c r="F711" t="s">
        <v>19</v>
      </c>
      <c r="G711" t="s">
        <v>19</v>
      </c>
      <c r="H711" t="s">
        <v>19</v>
      </c>
      <c r="I711" t="s">
        <v>19</v>
      </c>
      <c r="J711" t="s">
        <v>74</v>
      </c>
      <c r="K711" s="21" t="s">
        <v>607</v>
      </c>
      <c r="L711" s="5" t="s">
        <v>19</v>
      </c>
      <c r="M711" s="5" t="s">
        <v>19</v>
      </c>
      <c r="N711" s="5" t="s">
        <v>19</v>
      </c>
      <c r="O711" s="5" t="str">
        <f>HYPERLINK("http://www.lghausys.co.kr/popup/rn/download/downloadPopup.jsp?from=plwindow&amp;uu=/upload/window/REPORT/LGH-WA18-138.pdf","2등급")</f>
        <v>2등급</v>
      </c>
      <c r="P711" s="5" t="s">
        <v>19</v>
      </c>
      <c r="Q711" s="5" t="s">
        <v>19</v>
      </c>
      <c r="R711" s="5" t="s">
        <v>19</v>
      </c>
      <c r="S711" s="5" t="s">
        <v>19</v>
      </c>
      <c r="T711" s="5" t="s">
        <v>19</v>
      </c>
      <c r="U711" s="5" t="s">
        <v>19</v>
      </c>
      <c r="V711" s="5" t="s">
        <v>19</v>
      </c>
      <c r="W711" s="5" t="s">
        <v>152</v>
      </c>
      <c r="X711"/>
    </row>
    <row r="712" spans="1:24">
      <c r="A712" t="s">
        <v>19</v>
      </c>
      <c r="B712" t="s">
        <v>82</v>
      </c>
      <c r="C712" t="s">
        <v>31</v>
      </c>
      <c r="D712" t="s">
        <v>64</v>
      </c>
      <c r="E712" t="s">
        <v>157</v>
      </c>
      <c r="F712" t="s">
        <v>19</v>
      </c>
      <c r="G712" t="s">
        <v>19</v>
      </c>
      <c r="H712" t="s">
        <v>19</v>
      </c>
      <c r="I712" t="s">
        <v>19</v>
      </c>
      <c r="J712" t="s">
        <v>97</v>
      </c>
      <c r="K712" s="21" t="s">
        <v>607</v>
      </c>
      <c r="L712" s="5" t="s">
        <v>19</v>
      </c>
      <c r="M712" s="5" t="s">
        <v>19</v>
      </c>
      <c r="N712" s="5" t="s">
        <v>19</v>
      </c>
      <c r="O712" s="5" t="str">
        <f>HYPERLINK("http://www.lghausys.co.kr/popup/rn/download/downloadPopup.jsp?from=plwindow&amp;uu=/upload/window/REPORT/LGH-WA18-139.pdf","2등급")</f>
        <v>2등급</v>
      </c>
      <c r="P712" s="5" t="s">
        <v>19</v>
      </c>
      <c r="Q712" s="5" t="s">
        <v>19</v>
      </c>
      <c r="R712" s="5" t="s">
        <v>19</v>
      </c>
      <c r="S712" s="5" t="s">
        <v>19</v>
      </c>
      <c r="T712" s="5" t="s">
        <v>19</v>
      </c>
      <c r="U712" s="5" t="s">
        <v>19</v>
      </c>
      <c r="V712" s="5" t="s">
        <v>19</v>
      </c>
      <c r="W712" s="5" t="s">
        <v>152</v>
      </c>
      <c r="X712"/>
    </row>
    <row r="713" spans="1:24">
      <c r="A713" t="s">
        <v>19</v>
      </c>
      <c r="B713" t="s">
        <v>206</v>
      </c>
      <c r="C713" t="s">
        <v>31</v>
      </c>
      <c r="D713" t="s">
        <v>25</v>
      </c>
      <c r="E713" t="s">
        <v>157</v>
      </c>
      <c r="F713" t="s">
        <v>19</v>
      </c>
      <c r="G713" t="s">
        <v>19</v>
      </c>
      <c r="H713" t="s">
        <v>64</v>
      </c>
      <c r="I713" t="s">
        <v>19</v>
      </c>
      <c r="J713" t="s">
        <v>74</v>
      </c>
      <c r="K713" s="21" t="s">
        <v>607</v>
      </c>
      <c r="L713" s="5" t="s">
        <v>19</v>
      </c>
      <c r="M713" s="5" t="s">
        <v>19</v>
      </c>
      <c r="N713" s="5" t="s">
        <v>19</v>
      </c>
      <c r="O713" s="5" t="s">
        <v>19</v>
      </c>
      <c r="P713" s="5" t="str">
        <f>HYPERLINK("http://www.lghausys.co.kr/popup/rn/download/downloadPopup.jsp?from=plwindow&amp;uu=/upload/window/REPORT/LGH-WA18-140.pdf","25등급")</f>
        <v>25등급</v>
      </c>
      <c r="Q713" s="5" t="str">
        <f>HYPERLINK("http://www.lghausys.co.kr/popup/rn/download/downloadPopup.jsp?from=plwindow&amp;uu=/upload/window/REPORT/LGH-WA18-140.pdf","300등급")</f>
        <v>300등급</v>
      </c>
      <c r="R713" s="5" t="s">
        <v>19</v>
      </c>
      <c r="S713" s="5" t="s">
        <v>19</v>
      </c>
      <c r="T713" s="5" t="s">
        <v>19</v>
      </c>
      <c r="U713" s="5" t="s">
        <v>19</v>
      </c>
      <c r="V713" s="5" t="s">
        <v>19</v>
      </c>
      <c r="W713" s="5" t="s">
        <v>152</v>
      </c>
      <c r="X713"/>
    </row>
    <row r="714" spans="1:24">
      <c r="A714" t="s">
        <v>19</v>
      </c>
      <c r="B714" t="s">
        <v>207</v>
      </c>
      <c r="C714" t="s">
        <v>31</v>
      </c>
      <c r="D714" t="s">
        <v>25</v>
      </c>
      <c r="E714" t="s">
        <v>157</v>
      </c>
      <c r="F714" t="s">
        <v>19</v>
      </c>
      <c r="G714" t="s">
        <v>19</v>
      </c>
      <c r="H714" t="s">
        <v>64</v>
      </c>
      <c r="I714" t="s">
        <v>19</v>
      </c>
      <c r="J714" t="s">
        <v>74</v>
      </c>
      <c r="K714" s="21" t="s">
        <v>607</v>
      </c>
      <c r="L714" s="5" t="s">
        <v>19</v>
      </c>
      <c r="M714" s="5" t="s">
        <v>19</v>
      </c>
      <c r="N714" s="5" t="s">
        <v>19</v>
      </c>
      <c r="O714" s="5" t="s">
        <v>19</v>
      </c>
      <c r="P714" s="5" t="str">
        <f>HYPERLINK("http://www.lghausys.co.kr/popup/rn/download/downloadPopup.jsp?from=plwindow&amp;uu=/upload/window/REPORT/LGH-WA18-141.pdf","50등급")</f>
        <v>50등급</v>
      </c>
      <c r="Q714" s="5" t="str">
        <f>HYPERLINK("http://www.lghausys.co.kr/popup/rn/download/downloadPopup.jsp?from=plwindow&amp;uu=/upload/window/REPORT/LGH-WA18-141.pdf","400등급")</f>
        <v>400등급</v>
      </c>
      <c r="R714" s="5" t="s">
        <v>19</v>
      </c>
      <c r="S714" s="5" t="s">
        <v>19</v>
      </c>
      <c r="T714" s="5" t="s">
        <v>19</v>
      </c>
      <c r="U714" s="5" t="s">
        <v>19</v>
      </c>
      <c r="V714" s="5" t="s">
        <v>19</v>
      </c>
      <c r="W714" s="5" t="s">
        <v>152</v>
      </c>
      <c r="X714"/>
    </row>
    <row r="715" spans="1:24">
      <c r="A715" t="s">
        <v>19</v>
      </c>
      <c r="B715" t="s">
        <v>208</v>
      </c>
      <c r="C715" t="s">
        <v>31</v>
      </c>
      <c r="D715" t="s">
        <v>25</v>
      </c>
      <c r="E715" t="s">
        <v>19</v>
      </c>
      <c r="F715" t="s">
        <v>19</v>
      </c>
      <c r="G715" t="s">
        <v>19</v>
      </c>
      <c r="H715" t="s">
        <v>19</v>
      </c>
      <c r="I715" t="s">
        <v>19</v>
      </c>
      <c r="J715" t="s">
        <v>74</v>
      </c>
      <c r="K715" s="21" t="s">
        <v>607</v>
      </c>
      <c r="L715" s="5" t="s">
        <v>19</v>
      </c>
      <c r="M715" s="5" t="s">
        <v>19</v>
      </c>
      <c r="N715" s="5" t="s">
        <v>19</v>
      </c>
      <c r="O715" s="5" t="s">
        <v>19</v>
      </c>
      <c r="P715" s="5" t="str">
        <f>HYPERLINK("http://www.lghausys.co.kr/popup/rn/download/downloadPopup.jsp?from=plwindow&amp;uu=/upload/window/REPORT/LGH-WA18-142.pdf","50등급")</f>
        <v>50등급</v>
      </c>
      <c r="Q715" s="5" t="str">
        <f>HYPERLINK("http://www.lghausys.co.kr/popup/rn/download/downloadPopup.jsp?from=plwindow&amp;uu=/upload/window/REPORT/LGH-WA18-142.pdf","400등급")</f>
        <v>400등급</v>
      </c>
      <c r="R715" s="5" t="s">
        <v>19</v>
      </c>
      <c r="S715" s="5" t="s">
        <v>19</v>
      </c>
      <c r="T715" s="5" t="s">
        <v>19</v>
      </c>
      <c r="U715" s="5" t="s">
        <v>19</v>
      </c>
      <c r="V715" s="5" t="s">
        <v>19</v>
      </c>
      <c r="W715" s="5" t="s">
        <v>152</v>
      </c>
      <c r="X715"/>
    </row>
    <row r="716" spans="1:24">
      <c r="A716" t="s">
        <v>95</v>
      </c>
      <c r="B716" t="s">
        <v>19</v>
      </c>
      <c r="C716" t="s">
        <v>31</v>
      </c>
      <c r="D716" t="s">
        <v>25</v>
      </c>
      <c r="E716" t="s">
        <v>19</v>
      </c>
      <c r="F716" t="s">
        <v>19</v>
      </c>
      <c r="G716" t="s">
        <v>19</v>
      </c>
      <c r="H716" t="s">
        <v>19</v>
      </c>
      <c r="I716" t="s">
        <v>19</v>
      </c>
      <c r="J716" t="s">
        <v>74</v>
      </c>
      <c r="K716" s="21" t="s">
        <v>607</v>
      </c>
      <c r="L716" s="5" t="s">
        <v>19</v>
      </c>
      <c r="M716" s="5" t="s">
        <v>19</v>
      </c>
      <c r="N716" s="5" t="s">
        <v>19</v>
      </c>
      <c r="O716" s="5" t="str">
        <f>HYPERLINK("http://www.lghausys.co.kr/popup/rn/download/downloadPopup.jsp?from=plwindow&amp;uu=/upload/window/REPORT/LGH-WA18-143.pdf","1등급")</f>
        <v>1등급</v>
      </c>
      <c r="P716" s="5" t="str">
        <f>HYPERLINK("http://www.lghausys.co.kr/popup/rn/download/downloadPopup.jsp?from=plwindow&amp;uu=/upload/window/REPORT/LGH-WA18-143.pdf","35등급")</f>
        <v>35등급</v>
      </c>
      <c r="Q716" s="5" t="str">
        <f>HYPERLINK("http://www.lghausys.co.kr/popup/rn/download/downloadPopup.jsp?from=plwindow&amp;uu=/upload/window/REPORT/LGH-WA18-143.pdf","240등급")</f>
        <v>240등급</v>
      </c>
      <c r="R716" s="5" t="s">
        <v>19</v>
      </c>
      <c r="S716" s="5" t="s">
        <v>19</v>
      </c>
      <c r="T716" s="5" t="s">
        <v>19</v>
      </c>
      <c r="U716" s="5" t="s">
        <v>19</v>
      </c>
      <c r="V716" s="5" t="s">
        <v>19</v>
      </c>
      <c r="W716" s="5" t="s">
        <v>152</v>
      </c>
      <c r="X716"/>
    </row>
    <row r="717" spans="1:24">
      <c r="A717" t="s">
        <v>19</v>
      </c>
      <c r="B717" t="s">
        <v>193</v>
      </c>
      <c r="C717" t="s">
        <v>31</v>
      </c>
      <c r="D717" t="s">
        <v>25</v>
      </c>
      <c r="E717" t="s">
        <v>19</v>
      </c>
      <c r="F717" t="s">
        <v>19</v>
      </c>
      <c r="G717" t="s">
        <v>19</v>
      </c>
      <c r="H717" t="s">
        <v>19</v>
      </c>
      <c r="I717" t="s">
        <v>19</v>
      </c>
      <c r="J717" t="s">
        <v>74</v>
      </c>
      <c r="K717" s="21" t="s">
        <v>607</v>
      </c>
      <c r="L717" s="5" t="s">
        <v>19</v>
      </c>
      <c r="M717" s="5" t="s">
        <v>19</v>
      </c>
      <c r="N717" s="5" t="s">
        <v>19</v>
      </c>
      <c r="O717" s="5" t="str">
        <f>HYPERLINK("http://www.lghausys.co.kr/popup/rn/download/downloadPopup.jsp?from=plwindow&amp;uu=/upload/window/REPORT/LGH-WA18-144.pdf","2등급")</f>
        <v>2등급</v>
      </c>
      <c r="P717" s="5" t="str">
        <f>HYPERLINK("http://www.lghausys.co.kr/popup/rn/download/downloadPopup.jsp?from=plwindow&amp;uu=/upload/window/REPORT/LGH-WA18-144.pdf","15등급")</f>
        <v>15등급</v>
      </c>
      <c r="Q717" s="5" t="str">
        <f>HYPERLINK("http://www.lghausys.co.kr/popup/rn/download/downloadPopup.jsp?from=plwindow&amp;uu=/upload/window/REPORT/LGH-WA18-144.pdf","240등급")</f>
        <v>240등급</v>
      </c>
      <c r="R717" s="5" t="s">
        <v>19</v>
      </c>
      <c r="S717" s="5" t="s">
        <v>19</v>
      </c>
      <c r="T717" s="5" t="s">
        <v>19</v>
      </c>
      <c r="U717" s="5" t="s">
        <v>19</v>
      </c>
      <c r="V717" s="5" t="s">
        <v>19</v>
      </c>
      <c r="W717" s="5" t="s">
        <v>152</v>
      </c>
      <c r="X717"/>
    </row>
    <row r="718" spans="1:24">
      <c r="A718" t="s">
        <v>19</v>
      </c>
      <c r="B718" t="s">
        <v>209</v>
      </c>
      <c r="C718" t="s">
        <v>31</v>
      </c>
      <c r="D718" t="s">
        <v>25</v>
      </c>
      <c r="E718" t="s">
        <v>19</v>
      </c>
      <c r="F718" t="s">
        <v>19</v>
      </c>
      <c r="G718" t="s">
        <v>19</v>
      </c>
      <c r="H718" t="s">
        <v>25</v>
      </c>
      <c r="I718" t="s">
        <v>19</v>
      </c>
      <c r="J718" t="s">
        <v>74</v>
      </c>
      <c r="K718" s="21" t="s">
        <v>607</v>
      </c>
      <c r="L718" s="5" t="s">
        <v>19</v>
      </c>
      <c r="M718" s="5" t="s">
        <v>19</v>
      </c>
      <c r="N718" s="5" t="s">
        <v>19</v>
      </c>
      <c r="O718" s="5" t="str">
        <f>HYPERLINK("http://www.lghausys.co.kr/popup/rn/download/downloadPopup.jsp?from=plwindow&amp;uu=/upload/window/REPORT/LGH-WA18-145.pdf","1등급")</f>
        <v>1등급</v>
      </c>
      <c r="P718" s="5" t="str">
        <f>HYPERLINK("http://www.lghausys.co.kr/popup/rn/download/downloadPopup.jsp?from=plwindow&amp;uu=/upload/window/REPORT/LGH-WA18-145.pdf","50등급")</f>
        <v>50등급</v>
      </c>
      <c r="Q718" s="5" t="str">
        <f>HYPERLINK("http://www.lghausys.co.kr/popup/rn/download/downloadPopup.jsp?from=plwindow&amp;uu=/upload/window/REPORT/LGH-WA18-145.pdf","400등급")</f>
        <v>400등급</v>
      </c>
      <c r="R718" s="5" t="s">
        <v>19</v>
      </c>
      <c r="S718" s="5" t="s">
        <v>19</v>
      </c>
      <c r="T718" s="5" t="s">
        <v>19</v>
      </c>
      <c r="U718" s="5" t="s">
        <v>19</v>
      </c>
      <c r="V718" s="5" t="s">
        <v>19</v>
      </c>
      <c r="W718" s="5" t="s">
        <v>152</v>
      </c>
      <c r="X718"/>
    </row>
    <row r="719" spans="1:24">
      <c r="A719" t="s">
        <v>19</v>
      </c>
      <c r="B719" t="s">
        <v>210</v>
      </c>
      <c r="C719" t="s">
        <v>31</v>
      </c>
      <c r="D719" t="s">
        <v>25</v>
      </c>
      <c r="E719" t="s">
        <v>19</v>
      </c>
      <c r="F719" t="s">
        <v>19</v>
      </c>
      <c r="G719" t="s">
        <v>19</v>
      </c>
      <c r="H719" t="s">
        <v>25</v>
      </c>
      <c r="I719" t="s">
        <v>19</v>
      </c>
      <c r="J719" t="s">
        <v>74</v>
      </c>
      <c r="K719" s="21" t="s">
        <v>607</v>
      </c>
      <c r="L719" s="5" t="s">
        <v>19</v>
      </c>
      <c r="M719" s="5" t="s">
        <v>19</v>
      </c>
      <c r="N719" s="5" t="s">
        <v>19</v>
      </c>
      <c r="O719" s="5" t="str">
        <f>HYPERLINK("http://www.lghausys.co.kr/popup/rn/download/downloadPopup.jsp?from=plwindow&amp;uu=/upload/window/REPORT/LGH-WA18-146.pdf","1등급")</f>
        <v>1등급</v>
      </c>
      <c r="P719" s="5" t="str">
        <f>HYPERLINK("http://www.lghausys.co.kr/popup/rn/download/downloadPopup.jsp?from=plwindow&amp;uu=/upload/window/REPORT/LGH-WA18-146.pdf","50등급")</f>
        <v>50등급</v>
      </c>
      <c r="Q719" s="5" t="str">
        <f>HYPERLINK("http://www.lghausys.co.kr/popup/rn/download/downloadPopup.jsp?from=plwindow&amp;uu=/upload/window/REPORT/LGH-WA18-146.pdf","400등급")</f>
        <v>400등급</v>
      </c>
      <c r="R719" s="5" t="s">
        <v>19</v>
      </c>
      <c r="S719" s="5" t="s">
        <v>19</v>
      </c>
      <c r="T719" s="5" t="s">
        <v>19</v>
      </c>
      <c r="U719" s="5" t="s">
        <v>19</v>
      </c>
      <c r="V719" s="5" t="s">
        <v>19</v>
      </c>
      <c r="W719" s="5" t="s">
        <v>152</v>
      </c>
      <c r="X719"/>
    </row>
    <row r="720" spans="1:24">
      <c r="A720" t="s">
        <v>100</v>
      </c>
      <c r="B720" t="s">
        <v>19</v>
      </c>
      <c r="C720" t="s">
        <v>20</v>
      </c>
      <c r="D720" t="s">
        <v>25</v>
      </c>
      <c r="E720" t="s">
        <v>19</v>
      </c>
      <c r="F720" t="s">
        <v>19</v>
      </c>
      <c r="G720" t="s">
        <v>19</v>
      </c>
      <c r="H720" t="s">
        <v>53</v>
      </c>
      <c r="I720" t="s">
        <v>19</v>
      </c>
      <c r="J720" t="s">
        <v>74</v>
      </c>
      <c r="K720" s="21" t="str">
        <f>IF(X720&lt;=0.9,HYPERLINK("http://www.lxhausys.co.kr/popup/rn/download/downloadPopup.jsp?from=plwindow&amp;uu=/upload/window/REPORT/LGH-TW18-050.pdf","1등급"),IF(X720&lt;=1.2,HYPERLINK("http://www.lxhausys.co.kr/popup/rn/download/downloadPopup.jsp?from=plwindow&amp;uu=/upload/window/REPORT/LGH-TW18-050.pdf","2등급"),IF(X720&lt;=1.8,HYPERLINK("http://www.lxhausys.co.kr/popup/rn/download/downloadPopup.jsp?from=plwindow&amp;uu=/upload/window/REPORT/LGH-TW18-050.pdf","3등급"),IF(X720&lt;=2.3,HYPERLINK("http://www.lxhausys.co.kr/popup/rn/download/downloadPopup.jsp?from=plwindow&amp;uu=/upload/window/REPORT/LGH-TW18-050.pdf","4등급"),IF(X720&lt;=2.8,HYPERLINK("http://www.lxhausys.co.kr/popup/rn/download/downloadPopup.jsp?from=plwindow&amp;uu=/upload/window/REPORT/LGH-TW18-050.pdf","5등급"),HYPERLINK("http://www.lxhausys.co.kr/popup/rn/download/downloadPopup.jsp?from=plwindow&amp;uu=/upload/window/REPORT/LGH-TW18-050.pdf","등급외"))))))</f>
        <v>1등급</v>
      </c>
      <c r="L720" s="5">
        <v>0.89119999999999999</v>
      </c>
      <c r="M720" s="5" t="s">
        <v>22</v>
      </c>
      <c r="N720" s="5" t="s">
        <v>607</v>
      </c>
      <c r="O720" s="5" t="s">
        <v>19</v>
      </c>
      <c r="P720" s="5" t="s">
        <v>19</v>
      </c>
      <c r="Q720" s="5" t="s">
        <v>19</v>
      </c>
      <c r="R720" s="5" t="s">
        <v>19</v>
      </c>
      <c r="S720" s="5" t="s">
        <v>19</v>
      </c>
      <c r="T720" s="5" t="s">
        <v>19</v>
      </c>
      <c r="U720" s="5" t="s">
        <v>19</v>
      </c>
      <c r="V720" s="5" t="s">
        <v>19</v>
      </c>
      <c r="W720" s="5" t="s">
        <v>19</v>
      </c>
      <c r="X720" s="19">
        <f t="shared" ref="X720:X739" si="5">L720</f>
        <v>0.89119999999999999</v>
      </c>
    </row>
    <row r="721" spans="1:24">
      <c r="A721" t="s">
        <v>100</v>
      </c>
      <c r="B721" t="s">
        <v>19</v>
      </c>
      <c r="C721" t="s">
        <v>20</v>
      </c>
      <c r="D721" t="s">
        <v>25</v>
      </c>
      <c r="E721" t="s">
        <v>19</v>
      </c>
      <c r="F721" t="s">
        <v>19</v>
      </c>
      <c r="G721" t="s">
        <v>19</v>
      </c>
      <c r="H721" t="s">
        <v>25</v>
      </c>
      <c r="I721" t="s">
        <v>19</v>
      </c>
      <c r="J721" t="s">
        <v>74</v>
      </c>
      <c r="K721" s="21" t="str">
        <f>IF(X721&lt;=0.9,HYPERLINK("http://www.lxhausys.co.kr/popup/rn/download/downloadPopup.jsp?from=plwindow&amp;uu=/upload/window/REPORT/LGH-TW18-051.pdf","1등급"),IF(X721&lt;=1.2,HYPERLINK("http://www.lxhausys.co.kr/popup/rn/download/downloadPopup.jsp?from=plwindow&amp;uu=/upload/window/REPORT/LGH-TW18-051.pdf","2등급"),IF(X721&lt;=1.8,HYPERLINK("http://www.lxhausys.co.kr/popup/rn/download/downloadPopup.jsp?from=plwindow&amp;uu=/upload/window/REPORT/LGH-TW18-051.pdf","3등급"),IF(X721&lt;=2.3,HYPERLINK("http://www.lxhausys.co.kr/popup/rn/download/downloadPopup.jsp?from=plwindow&amp;uu=/upload/window/REPORT/LGH-TW18-051.pdf","4등급"),IF(X721&lt;=2.8,HYPERLINK("http://www.lxhausys.co.kr/popup/rn/download/downloadPopup.jsp?from=plwindow&amp;uu=/upload/window/REPORT/LGH-TW18-051.pdf","5등급"),HYPERLINK("http://www.lxhausys.co.kr/popup/rn/download/downloadPopup.jsp?from=plwindow&amp;uu=/upload/window/REPORT/LGH-TW18-051.pdf","등급외"))))))</f>
        <v>2등급</v>
      </c>
      <c r="L721" s="5">
        <v>1.1992</v>
      </c>
      <c r="M721" s="5" t="s">
        <v>22</v>
      </c>
      <c r="N721" s="5" t="s">
        <v>607</v>
      </c>
      <c r="O721" s="5" t="s">
        <v>19</v>
      </c>
      <c r="P721" s="5" t="s">
        <v>19</v>
      </c>
      <c r="Q721" s="5" t="s">
        <v>19</v>
      </c>
      <c r="R721" s="5" t="s">
        <v>19</v>
      </c>
      <c r="S721" s="5" t="s">
        <v>19</v>
      </c>
      <c r="T721" s="5" t="s">
        <v>19</v>
      </c>
      <c r="U721" s="5" t="s">
        <v>19</v>
      </c>
      <c r="V721" s="5" t="s">
        <v>19</v>
      </c>
      <c r="W721" s="5" t="s">
        <v>19</v>
      </c>
      <c r="X721" s="19">
        <f t="shared" si="5"/>
        <v>1.1992</v>
      </c>
    </row>
    <row r="722" spans="1:24">
      <c r="A722" t="s">
        <v>100</v>
      </c>
      <c r="B722" t="s">
        <v>19</v>
      </c>
      <c r="C722" t="s">
        <v>20</v>
      </c>
      <c r="D722" t="s">
        <v>68</v>
      </c>
      <c r="E722" t="s">
        <v>19</v>
      </c>
      <c r="F722" t="s">
        <v>19</v>
      </c>
      <c r="G722" t="s">
        <v>19</v>
      </c>
      <c r="H722" t="s">
        <v>68</v>
      </c>
      <c r="I722" t="s">
        <v>19</v>
      </c>
      <c r="J722" t="s">
        <v>74</v>
      </c>
      <c r="K722" s="21" t="str">
        <f>IF(X722&lt;=0.9,HYPERLINK("http://www.lxhausys.co.kr/popup/rn/download/downloadPopup.jsp?from=plwindow&amp;uu=/upload/window/REPORT/LGH-TW18-053.pdf","1등급"),IF(X722&lt;=1.2,HYPERLINK("http://www.lxhausys.co.kr/popup/rn/download/downloadPopup.jsp?from=plwindow&amp;uu=/upload/window/REPORT/LGH-TW18-053.pdf","2등급"),IF(X722&lt;=1.8,HYPERLINK("http://www.lxhausys.co.kr/popup/rn/download/downloadPopup.jsp?from=plwindow&amp;uu=/upload/window/REPORT/LGH-TW18-053.pdf","3등급"),IF(X722&lt;=2.3,HYPERLINK("http://www.lxhausys.co.kr/popup/rn/download/downloadPopup.jsp?from=plwindow&amp;uu=/upload/window/REPORT/LGH-TW18-053.pdf","4등급"),IF(X722&lt;=2.8,HYPERLINK("http://www.lxhausys.co.kr/popup/rn/download/downloadPopup.jsp?from=plwindow&amp;uu=/upload/window/REPORT/LGH-TW18-053.pdf","5등급"),HYPERLINK("http://www.lxhausys.co.kr/popup/rn/download/downloadPopup.jsp?from=plwindow&amp;uu=/upload/window/REPORT/LGH-TW18-053.pdf","등급외"))))))</f>
        <v>2등급</v>
      </c>
      <c r="L722" s="5">
        <v>1.1587000000000001</v>
      </c>
      <c r="M722" s="5" t="s">
        <v>22</v>
      </c>
      <c r="N722" s="5" t="s">
        <v>607</v>
      </c>
      <c r="O722" s="5" t="s">
        <v>19</v>
      </c>
      <c r="P722" s="5" t="s">
        <v>19</v>
      </c>
      <c r="Q722" s="5" t="s">
        <v>19</v>
      </c>
      <c r="R722" s="5" t="s">
        <v>19</v>
      </c>
      <c r="S722" s="5" t="s">
        <v>19</v>
      </c>
      <c r="T722" s="5" t="s">
        <v>19</v>
      </c>
      <c r="U722" s="5" t="s">
        <v>19</v>
      </c>
      <c r="V722" s="5" t="s">
        <v>19</v>
      </c>
      <c r="W722" s="5" t="s">
        <v>19</v>
      </c>
      <c r="X722" s="19">
        <f t="shared" si="5"/>
        <v>1.1587000000000001</v>
      </c>
    </row>
    <row r="723" spans="1:24">
      <c r="A723" t="s">
        <v>69</v>
      </c>
      <c r="B723" t="s">
        <v>19</v>
      </c>
      <c r="C723" t="s">
        <v>20</v>
      </c>
      <c r="D723" t="s">
        <v>211</v>
      </c>
      <c r="E723" t="s">
        <v>19</v>
      </c>
      <c r="F723" t="s">
        <v>19</v>
      </c>
      <c r="G723" t="s">
        <v>19</v>
      </c>
      <c r="H723" t="s">
        <v>19</v>
      </c>
      <c r="I723" t="s">
        <v>19</v>
      </c>
      <c r="J723" t="s">
        <v>74</v>
      </c>
      <c r="K723" s="21" t="str">
        <f>IF(X723&lt;=0.9,HYPERLINK("http://www.lxhausys.co.kr/popup/rn/download/downloadPopup.jsp?from=plwindow&amp;uu=/upload/window/REPORT/LGH-TW18-061.pdf","1등급"),IF(X723&lt;=1.2,HYPERLINK("http://www.lxhausys.co.kr/popup/rn/download/downloadPopup.jsp?from=plwindow&amp;uu=/upload/window/REPORT/LGH-TW18-061.pdf","2등급"),IF(X723&lt;=1.8,HYPERLINK("http://www.lxhausys.co.kr/popup/rn/download/downloadPopup.jsp?from=plwindow&amp;uu=/upload/window/REPORT/LGH-TW18-061.pdf","3등급"),IF(X723&lt;=2.3,HYPERLINK("http://www.lxhausys.co.kr/popup/rn/download/downloadPopup.jsp?from=plwindow&amp;uu=/upload/window/REPORT/LGH-TW18-061.pdf","4등급"),IF(X723&lt;=2.8,HYPERLINK("http://www.lxhausys.co.kr/popup/rn/download/downloadPopup.jsp?from=plwindow&amp;uu=/upload/window/REPORT/LGH-TW18-061.pdf","5등급"),HYPERLINK("http://www.lxhausys.co.kr/popup/rn/download/downloadPopup.jsp?from=plwindow&amp;uu=/upload/window/REPORT/LGH-TW18-061.pdf","등급외"))))))</f>
        <v>3등급</v>
      </c>
      <c r="L723" s="5">
        <v>1.6419999999999999</v>
      </c>
      <c r="M723" s="5" t="s">
        <v>22</v>
      </c>
      <c r="N723" s="5" t="s">
        <v>607</v>
      </c>
      <c r="O723" s="5" t="s">
        <v>19</v>
      </c>
      <c r="P723" s="5" t="s">
        <v>19</v>
      </c>
      <c r="Q723" s="5" t="s">
        <v>19</v>
      </c>
      <c r="R723" s="5" t="s">
        <v>19</v>
      </c>
      <c r="S723" s="5" t="s">
        <v>19</v>
      </c>
      <c r="T723" s="5" t="s">
        <v>19</v>
      </c>
      <c r="U723" s="5" t="s">
        <v>19</v>
      </c>
      <c r="V723" s="5" t="s">
        <v>19</v>
      </c>
      <c r="W723" s="5" t="s">
        <v>19</v>
      </c>
      <c r="X723" s="19">
        <f t="shared" si="5"/>
        <v>1.6419999999999999</v>
      </c>
    </row>
    <row r="724" spans="1:24">
      <c r="A724" t="s">
        <v>205</v>
      </c>
      <c r="B724" t="s">
        <v>19</v>
      </c>
      <c r="C724" t="s">
        <v>20</v>
      </c>
      <c r="D724" t="s">
        <v>204</v>
      </c>
      <c r="E724" t="s">
        <v>19</v>
      </c>
      <c r="F724" t="s">
        <v>68</v>
      </c>
      <c r="G724" t="s">
        <v>182</v>
      </c>
      <c r="H724" t="s">
        <v>19</v>
      </c>
      <c r="I724" t="s">
        <v>19</v>
      </c>
      <c r="J724" t="s">
        <v>97</v>
      </c>
      <c r="K724" s="21" t="str">
        <f>IF(X724&lt;=0.9,HYPERLINK("http://www.lxhausys.co.kr/popup/rn/download/downloadPopup.jsp?from=plwindow&amp;uu=/upload/window/REPORT/LGH-TW18-062.pdf","1등급"),IF(X724&lt;=1.2,HYPERLINK("http://www.lxhausys.co.kr/popup/rn/download/downloadPopup.jsp?from=plwindow&amp;uu=/upload/window/REPORT/LGH-TW18-062.pdf","2등급"),IF(X724&lt;=1.8,HYPERLINK("http://www.lxhausys.co.kr/popup/rn/download/downloadPopup.jsp?from=plwindow&amp;uu=/upload/window/REPORT/LGH-TW18-062.pdf","3등급"),IF(X724&lt;=2.3,HYPERLINK("http://www.lxhausys.co.kr/popup/rn/download/downloadPopup.jsp?from=plwindow&amp;uu=/upload/window/REPORT/LGH-TW18-062.pdf","4등급"),IF(X724&lt;=2.8,HYPERLINK("http://www.lxhausys.co.kr/popup/rn/download/downloadPopup.jsp?from=plwindow&amp;uu=/upload/window/REPORT/LGH-TW18-062.pdf","5등급"),HYPERLINK("http://www.lxhausys.co.kr/popup/rn/download/downloadPopup.jsp?from=plwindow&amp;uu=/upload/window/REPORT/LGH-TW18-062.pdf","등급외"))))))</f>
        <v>5등급</v>
      </c>
      <c r="L724" s="5">
        <v>2.7547999999999999</v>
      </c>
      <c r="M724" s="5" t="s">
        <v>103</v>
      </c>
      <c r="N724" s="5" t="s">
        <v>607</v>
      </c>
      <c r="O724" s="5" t="s">
        <v>19</v>
      </c>
      <c r="P724" s="5" t="s">
        <v>19</v>
      </c>
      <c r="Q724" s="5" t="s">
        <v>19</v>
      </c>
      <c r="R724" s="5" t="s">
        <v>19</v>
      </c>
      <c r="S724" s="5" t="s">
        <v>19</v>
      </c>
      <c r="T724" s="5" t="s">
        <v>19</v>
      </c>
      <c r="U724" s="5" t="s">
        <v>19</v>
      </c>
      <c r="V724" s="5" t="s">
        <v>19</v>
      </c>
      <c r="W724" s="5" t="s">
        <v>19</v>
      </c>
      <c r="X724" s="19">
        <f t="shared" si="5"/>
        <v>2.7547999999999999</v>
      </c>
    </row>
    <row r="725" spans="1:24">
      <c r="A725" t="s">
        <v>19</v>
      </c>
      <c r="B725" t="s">
        <v>206</v>
      </c>
      <c r="C725" t="s">
        <v>20</v>
      </c>
      <c r="D725" t="s">
        <v>64</v>
      </c>
      <c r="E725" t="s">
        <v>157</v>
      </c>
      <c r="F725" t="s">
        <v>19</v>
      </c>
      <c r="G725" t="s">
        <v>19</v>
      </c>
      <c r="H725" t="s">
        <v>19</v>
      </c>
      <c r="I725" t="s">
        <v>19</v>
      </c>
      <c r="J725" t="s">
        <v>74</v>
      </c>
      <c r="K725" s="21" t="str">
        <f>IF(X725&lt;=0.9,HYPERLINK("http://www.lxhausys.co.kr/popup/rn/download/downloadPopup.jsp?from=plwindow&amp;uu=/upload/window/REPORT/LGH-TW18-064.pdf","1등급"),IF(X725&lt;=1.2,HYPERLINK("http://www.lxhausys.co.kr/popup/rn/download/downloadPopup.jsp?from=plwindow&amp;uu=/upload/window/REPORT/LGH-TW18-064.pdf","2등급"),IF(X725&lt;=1.8,HYPERLINK("http://www.lxhausys.co.kr/popup/rn/download/downloadPopup.jsp?from=plwindow&amp;uu=/upload/window/REPORT/LGH-TW18-064.pdf","3등급"),IF(X725&lt;=2.3,HYPERLINK("http://www.lxhausys.co.kr/popup/rn/download/downloadPopup.jsp?from=plwindow&amp;uu=/upload/window/REPORT/LGH-TW18-064.pdf","4등급"),IF(X725&lt;=2.8,HYPERLINK("http://www.lxhausys.co.kr/popup/rn/download/downloadPopup.jsp?from=plwindow&amp;uu=/upload/window/REPORT/LGH-TW18-064.pdf","5등급"),HYPERLINK("http://www.lxhausys.co.kr/popup/rn/download/downloadPopup.jsp?from=plwindow&amp;uu=/upload/window/REPORT/LGH-TW18-064.pdf","등급외"))))))</f>
        <v>4등급</v>
      </c>
      <c r="L725" s="5">
        <v>2.2879999999999998</v>
      </c>
      <c r="M725" s="5" t="s">
        <v>103</v>
      </c>
      <c r="N725" s="5" t="s">
        <v>607</v>
      </c>
      <c r="O725" s="5" t="s">
        <v>19</v>
      </c>
      <c r="P725" s="5" t="s">
        <v>19</v>
      </c>
      <c r="Q725" s="5" t="s">
        <v>19</v>
      </c>
      <c r="R725" s="5" t="s">
        <v>19</v>
      </c>
      <c r="S725" s="5" t="s">
        <v>19</v>
      </c>
      <c r="T725" s="5" t="s">
        <v>19</v>
      </c>
      <c r="U725" s="5" t="s">
        <v>19</v>
      </c>
      <c r="V725" s="5" t="s">
        <v>19</v>
      </c>
      <c r="W725" s="5" t="s">
        <v>19</v>
      </c>
      <c r="X725" s="19">
        <f t="shared" si="5"/>
        <v>2.2879999999999998</v>
      </c>
    </row>
    <row r="726" spans="1:24">
      <c r="A726" t="s">
        <v>19</v>
      </c>
      <c r="B726" t="s">
        <v>207</v>
      </c>
      <c r="C726" t="s">
        <v>20</v>
      </c>
      <c r="D726" t="s">
        <v>25</v>
      </c>
      <c r="E726" t="s">
        <v>178</v>
      </c>
      <c r="F726" t="s">
        <v>19</v>
      </c>
      <c r="G726" t="s">
        <v>19</v>
      </c>
      <c r="H726" t="s">
        <v>64</v>
      </c>
      <c r="I726" t="s">
        <v>19</v>
      </c>
      <c r="J726" t="s">
        <v>74</v>
      </c>
      <c r="K726" s="21" t="str">
        <f>IF(X726&lt;=0.9,HYPERLINK("http://www.lxhausys.co.kr/popup/rn/download/downloadPopup.jsp?from=plwindow&amp;uu=/upload/window/REPORT/LGH-TW18-065.pdf","1등급"),IF(X726&lt;=1.2,HYPERLINK("http://www.lxhausys.co.kr/popup/rn/download/downloadPopup.jsp?from=plwindow&amp;uu=/upload/window/REPORT/LGH-TW18-065.pdf","2등급"),IF(X726&lt;=1.8,HYPERLINK("http://www.lxhausys.co.kr/popup/rn/download/downloadPopup.jsp?from=plwindow&amp;uu=/upload/window/REPORT/LGH-TW18-065.pdf","3등급"),IF(X726&lt;=2.3,HYPERLINK("http://www.lxhausys.co.kr/popup/rn/download/downloadPopup.jsp?from=plwindow&amp;uu=/upload/window/REPORT/LGH-TW18-065.pdf","4등급"),IF(X726&lt;=2.8,HYPERLINK("http://www.lxhausys.co.kr/popup/rn/download/downloadPopup.jsp?from=plwindow&amp;uu=/upload/window/REPORT/LGH-TW18-065.pdf","5등급"),HYPERLINK("http://www.lxhausys.co.kr/popup/rn/download/downloadPopup.jsp?from=plwindow&amp;uu=/upload/window/REPORT/LGH-TW18-065.pdf","등급외"))))))</f>
        <v>2등급</v>
      </c>
      <c r="L726" s="5">
        <v>0.997</v>
      </c>
      <c r="M726" s="5" t="s">
        <v>22</v>
      </c>
      <c r="N726" s="5" t="s">
        <v>607</v>
      </c>
      <c r="O726" s="5" t="s">
        <v>19</v>
      </c>
      <c r="P726" s="5" t="s">
        <v>19</v>
      </c>
      <c r="Q726" s="5" t="s">
        <v>19</v>
      </c>
      <c r="R726" s="5" t="s">
        <v>19</v>
      </c>
      <c r="S726" s="5" t="s">
        <v>19</v>
      </c>
      <c r="T726" s="5" t="s">
        <v>19</v>
      </c>
      <c r="U726" s="5" t="s">
        <v>19</v>
      </c>
      <c r="V726" s="5" t="s">
        <v>19</v>
      </c>
      <c r="W726" s="5" t="s">
        <v>19</v>
      </c>
      <c r="X726" s="19">
        <f t="shared" si="5"/>
        <v>0.997</v>
      </c>
    </row>
    <row r="727" spans="1:24">
      <c r="A727" t="s">
        <v>19</v>
      </c>
      <c r="B727" t="s">
        <v>208</v>
      </c>
      <c r="C727" t="s">
        <v>20</v>
      </c>
      <c r="D727" t="s">
        <v>25</v>
      </c>
      <c r="E727" t="s">
        <v>178</v>
      </c>
      <c r="F727" t="s">
        <v>19</v>
      </c>
      <c r="G727" t="s">
        <v>19</v>
      </c>
      <c r="H727" t="s">
        <v>64</v>
      </c>
      <c r="I727" t="s">
        <v>19</v>
      </c>
      <c r="J727" t="s">
        <v>74</v>
      </c>
      <c r="K727" s="21" t="str">
        <f>IF(X727&lt;=0.9,HYPERLINK("http://www.lxhausys.co.kr/popup/rn/download/downloadPopup.jsp?from=plwindow&amp;uu=/upload/window/REPORT/LGH-TW18-066.pdf","1등급"),IF(X727&lt;=1.2,HYPERLINK("http://www.lxhausys.co.kr/popup/rn/download/downloadPopup.jsp?from=plwindow&amp;uu=/upload/window/REPORT/LGH-TW18-066.pdf","2등급"),IF(X727&lt;=1.8,HYPERLINK("http://www.lxhausys.co.kr/popup/rn/download/downloadPopup.jsp?from=plwindow&amp;uu=/upload/window/REPORT/LGH-TW18-066.pdf","3등급"),IF(X727&lt;=2.3,HYPERLINK("http://www.lxhausys.co.kr/popup/rn/download/downloadPopup.jsp?from=plwindow&amp;uu=/upload/window/REPORT/LGH-TW18-066.pdf","4등급"),IF(X727&lt;=2.8,HYPERLINK("http://www.lxhausys.co.kr/popup/rn/download/downloadPopup.jsp?from=plwindow&amp;uu=/upload/window/REPORT/LGH-TW18-066.pdf","5등급"),HYPERLINK("http://www.lxhausys.co.kr/popup/rn/download/downloadPopup.jsp?from=plwindow&amp;uu=/upload/window/REPORT/LGH-TW18-066.pdf","등급외"))))))</f>
        <v>2등급</v>
      </c>
      <c r="L727" s="5">
        <v>0.98099999999999998</v>
      </c>
      <c r="M727" s="5" t="s">
        <v>22</v>
      </c>
      <c r="N727" s="5" t="s">
        <v>607</v>
      </c>
      <c r="O727" s="5" t="s">
        <v>19</v>
      </c>
      <c r="P727" s="5" t="s">
        <v>19</v>
      </c>
      <c r="Q727" s="5" t="s">
        <v>19</v>
      </c>
      <c r="R727" s="5" t="s">
        <v>19</v>
      </c>
      <c r="S727" s="5" t="s">
        <v>19</v>
      </c>
      <c r="T727" s="5" t="s">
        <v>19</v>
      </c>
      <c r="U727" s="5" t="s">
        <v>19</v>
      </c>
      <c r="V727" s="5" t="s">
        <v>19</v>
      </c>
      <c r="W727" s="5" t="s">
        <v>19</v>
      </c>
      <c r="X727" s="19">
        <f t="shared" si="5"/>
        <v>0.98099999999999998</v>
      </c>
    </row>
    <row r="728" spans="1:24">
      <c r="A728" t="s">
        <v>19</v>
      </c>
      <c r="B728" t="s">
        <v>193</v>
      </c>
      <c r="C728" t="s">
        <v>20</v>
      </c>
      <c r="D728" t="s">
        <v>64</v>
      </c>
      <c r="E728" t="s">
        <v>19</v>
      </c>
      <c r="F728" t="s">
        <v>19</v>
      </c>
      <c r="G728" t="s">
        <v>19</v>
      </c>
      <c r="H728" t="s">
        <v>19</v>
      </c>
      <c r="I728" t="s">
        <v>19</v>
      </c>
      <c r="J728" t="s">
        <v>74</v>
      </c>
      <c r="K728" s="21" t="str">
        <f>IF(X728&lt;=0.9,HYPERLINK("http://www.lxhausys.co.kr/popup/rn/download/downloadPopup.jsp?from=plwindow&amp;uu=/upload/window/REPORT/LGH-TW18-067.pdf","1등급"),IF(X728&lt;=1.2,HYPERLINK("http://www.lxhausys.co.kr/popup/rn/download/downloadPopup.jsp?from=plwindow&amp;uu=/upload/window/REPORT/LGH-TW18-067.pdf","2등급"),IF(X728&lt;=1.8,HYPERLINK("http://www.lxhausys.co.kr/popup/rn/download/downloadPopup.jsp?from=plwindow&amp;uu=/upload/window/REPORT/LGH-TW18-067.pdf","3등급"),IF(X728&lt;=2.3,HYPERLINK("http://www.lxhausys.co.kr/popup/rn/download/downloadPopup.jsp?from=plwindow&amp;uu=/upload/window/REPORT/LGH-TW18-067.pdf","4등급"),IF(X728&lt;=2.8,HYPERLINK("http://www.lxhausys.co.kr/popup/rn/download/downloadPopup.jsp?from=plwindow&amp;uu=/upload/window/REPORT/LGH-TW18-067.pdf","5등급"),HYPERLINK("http://www.lxhausys.co.kr/popup/rn/download/downloadPopup.jsp?from=plwindow&amp;uu=/upload/window/REPORT/LGH-TW18-067.pdf","등급외"))))))</f>
        <v>4등급</v>
      </c>
      <c r="L728" s="5">
        <v>2.0529999999999999</v>
      </c>
      <c r="M728" s="5" t="s">
        <v>103</v>
      </c>
      <c r="N728" s="5" t="s">
        <v>607</v>
      </c>
      <c r="O728" s="5" t="s">
        <v>19</v>
      </c>
      <c r="P728" s="5" t="s">
        <v>19</v>
      </c>
      <c r="Q728" s="5" t="s">
        <v>19</v>
      </c>
      <c r="R728" s="5" t="s">
        <v>19</v>
      </c>
      <c r="S728" s="5" t="s">
        <v>19</v>
      </c>
      <c r="T728" s="5" t="s">
        <v>19</v>
      </c>
      <c r="U728" s="5" t="s">
        <v>19</v>
      </c>
      <c r="V728" s="5" t="s">
        <v>19</v>
      </c>
      <c r="W728" s="5" t="s">
        <v>19</v>
      </c>
      <c r="X728" s="19">
        <f t="shared" si="5"/>
        <v>2.0529999999999999</v>
      </c>
    </row>
    <row r="729" spans="1:24">
      <c r="A729" t="s">
        <v>19</v>
      </c>
      <c r="B729" t="s">
        <v>193</v>
      </c>
      <c r="C729" t="s">
        <v>20</v>
      </c>
      <c r="D729" t="s">
        <v>25</v>
      </c>
      <c r="E729" t="s">
        <v>19</v>
      </c>
      <c r="F729" t="s">
        <v>19</v>
      </c>
      <c r="G729" t="s">
        <v>19</v>
      </c>
      <c r="H729" t="s">
        <v>19</v>
      </c>
      <c r="I729" t="s">
        <v>19</v>
      </c>
      <c r="J729" t="s">
        <v>74</v>
      </c>
      <c r="K729" s="21" t="str">
        <f>IF(X729&lt;=0.9,HYPERLINK("http://www.lxhausys.co.kr/popup/rn/download/downloadPopup.jsp?from=plwindow&amp;uu=/upload/window/REPORT/LGH-TW18-068.pdf","1등급"),IF(X729&lt;=1.2,HYPERLINK("http://www.lxhausys.co.kr/popup/rn/download/downloadPopup.jsp?from=plwindow&amp;uu=/upload/window/REPORT/LGH-TW18-068.pdf","2등급"),IF(X729&lt;=1.8,HYPERLINK("http://www.lxhausys.co.kr/popup/rn/download/downloadPopup.jsp?from=plwindow&amp;uu=/upload/window/REPORT/LGH-TW18-068.pdf","3등급"),IF(X729&lt;=2.3,HYPERLINK("http://www.lxhausys.co.kr/popup/rn/download/downloadPopup.jsp?from=plwindow&amp;uu=/upload/window/REPORT/LGH-TW18-068.pdf","4등급"),IF(X729&lt;=2.8,HYPERLINK("http://www.lxhausys.co.kr/popup/rn/download/downloadPopup.jsp?from=plwindow&amp;uu=/upload/window/REPORT/LGH-TW18-068.pdf","5등급"),HYPERLINK("http://www.lxhausys.co.kr/popup/rn/download/downloadPopup.jsp?from=plwindow&amp;uu=/upload/window/REPORT/LGH-TW18-068.pdf","등급외"))))))</f>
        <v>5등급</v>
      </c>
      <c r="L729" s="5">
        <v>2.77</v>
      </c>
      <c r="M729" s="5" t="s">
        <v>103</v>
      </c>
      <c r="N729" s="5" t="s">
        <v>607</v>
      </c>
      <c r="O729" s="5" t="s">
        <v>19</v>
      </c>
      <c r="P729" s="5" t="s">
        <v>19</v>
      </c>
      <c r="Q729" s="5" t="s">
        <v>19</v>
      </c>
      <c r="R729" s="5" t="s">
        <v>19</v>
      </c>
      <c r="S729" s="5" t="s">
        <v>19</v>
      </c>
      <c r="T729" s="5" t="s">
        <v>19</v>
      </c>
      <c r="U729" s="5" t="s">
        <v>19</v>
      </c>
      <c r="V729" s="5" t="s">
        <v>19</v>
      </c>
      <c r="W729" s="5" t="s">
        <v>19</v>
      </c>
      <c r="X729" s="19">
        <f t="shared" si="5"/>
        <v>2.77</v>
      </c>
    </row>
    <row r="730" spans="1:24">
      <c r="A730" t="s">
        <v>19</v>
      </c>
      <c r="B730" t="s">
        <v>193</v>
      </c>
      <c r="C730" t="s">
        <v>20</v>
      </c>
      <c r="D730" t="s">
        <v>102</v>
      </c>
      <c r="E730" t="s">
        <v>19</v>
      </c>
      <c r="F730" t="s">
        <v>19</v>
      </c>
      <c r="G730" t="s">
        <v>19</v>
      </c>
      <c r="H730" t="s">
        <v>19</v>
      </c>
      <c r="I730" t="s">
        <v>19</v>
      </c>
      <c r="J730" t="s">
        <v>74</v>
      </c>
      <c r="K730" s="21" t="str">
        <f>IF(X730&lt;=0.9,HYPERLINK("http://www.lxhausys.co.kr/popup/rn/download/downloadPopup.jsp?from=plwindow&amp;uu=/upload/window/REPORT/LGH-TW18-069.pdf","1등급"),IF(X730&lt;=1.2,HYPERLINK("http://www.lxhausys.co.kr/popup/rn/download/downloadPopup.jsp?from=plwindow&amp;uu=/upload/window/REPORT/LGH-TW18-069.pdf","2등급"),IF(X730&lt;=1.8,HYPERLINK("http://www.lxhausys.co.kr/popup/rn/download/downloadPopup.jsp?from=plwindow&amp;uu=/upload/window/REPORT/LGH-TW18-069.pdf","3등급"),IF(X730&lt;=2.3,HYPERLINK("http://www.lxhausys.co.kr/popup/rn/download/downloadPopup.jsp?from=plwindow&amp;uu=/upload/window/REPORT/LGH-TW18-069.pdf","4등급"),IF(X730&lt;=2.8,HYPERLINK("http://www.lxhausys.co.kr/popup/rn/download/downloadPopup.jsp?from=plwindow&amp;uu=/upload/window/REPORT/LGH-TW18-069.pdf","5등급"),HYPERLINK("http://www.lxhausys.co.kr/popup/rn/download/downloadPopup.jsp?from=plwindow&amp;uu=/upload/window/REPORT/LGH-TW18-069.pdf","등급외"))))))</f>
        <v>4등급</v>
      </c>
      <c r="L730" s="5">
        <v>1.9530000000000001</v>
      </c>
      <c r="M730" s="5" t="s">
        <v>103</v>
      </c>
      <c r="N730" s="5" t="s">
        <v>607</v>
      </c>
      <c r="O730" s="5" t="s">
        <v>19</v>
      </c>
      <c r="P730" s="5" t="s">
        <v>19</v>
      </c>
      <c r="Q730" s="5" t="s">
        <v>19</v>
      </c>
      <c r="R730" s="5" t="s">
        <v>19</v>
      </c>
      <c r="S730" s="5" t="s">
        <v>19</v>
      </c>
      <c r="T730" s="5" t="s">
        <v>19</v>
      </c>
      <c r="U730" s="5" t="s">
        <v>19</v>
      </c>
      <c r="V730" s="5" t="s">
        <v>19</v>
      </c>
      <c r="W730" s="5" t="s">
        <v>19</v>
      </c>
      <c r="X730" s="19">
        <f t="shared" si="5"/>
        <v>1.9530000000000001</v>
      </c>
    </row>
    <row r="731" spans="1:24">
      <c r="A731" t="s">
        <v>19</v>
      </c>
      <c r="B731" t="s">
        <v>193</v>
      </c>
      <c r="C731" t="s">
        <v>20</v>
      </c>
      <c r="D731" t="s">
        <v>68</v>
      </c>
      <c r="E731" t="s">
        <v>19</v>
      </c>
      <c r="F731" t="s">
        <v>19</v>
      </c>
      <c r="G731" t="s">
        <v>19</v>
      </c>
      <c r="H731" t="s">
        <v>19</v>
      </c>
      <c r="I731" t="s">
        <v>19</v>
      </c>
      <c r="J731" t="s">
        <v>74</v>
      </c>
      <c r="K731" s="21" t="str">
        <f>IF(X731&lt;=0.9,HYPERLINK("http://www.lxhausys.co.kr/popup/rn/download/downloadPopup.jsp?from=plwindow&amp;uu=/upload/window/REPORT/LGH-TW18-070.pdf","1등급"),IF(X731&lt;=1.2,HYPERLINK("http://www.lxhausys.co.kr/popup/rn/download/downloadPopup.jsp?from=plwindow&amp;uu=/upload/window/REPORT/LGH-TW18-070.pdf","2등급"),IF(X731&lt;=1.8,HYPERLINK("http://www.lxhausys.co.kr/popup/rn/download/downloadPopup.jsp?from=plwindow&amp;uu=/upload/window/REPORT/LGH-TW18-070.pdf","3등급"),IF(X731&lt;=2.3,HYPERLINK("http://www.lxhausys.co.kr/popup/rn/download/downloadPopup.jsp?from=plwindow&amp;uu=/upload/window/REPORT/LGH-TW18-070.pdf","4등급"),IF(X731&lt;=2.8,HYPERLINK("http://www.lxhausys.co.kr/popup/rn/download/downloadPopup.jsp?from=plwindow&amp;uu=/upload/window/REPORT/LGH-TW18-070.pdf","5등급"),HYPERLINK("http://www.lxhausys.co.kr/popup/rn/download/downloadPopup.jsp?from=plwindow&amp;uu=/upload/window/REPORT/LGH-TW18-070.pdf","등급외"))))))</f>
        <v>5등급</v>
      </c>
      <c r="L731" s="5">
        <v>2.7170000000000001</v>
      </c>
      <c r="M731" s="5" t="s">
        <v>103</v>
      </c>
      <c r="N731" s="5" t="s">
        <v>607</v>
      </c>
      <c r="O731" s="5" t="s">
        <v>19</v>
      </c>
      <c r="P731" s="5" t="s">
        <v>19</v>
      </c>
      <c r="Q731" s="5" t="s">
        <v>19</v>
      </c>
      <c r="R731" s="5" t="s">
        <v>19</v>
      </c>
      <c r="S731" s="5" t="s">
        <v>19</v>
      </c>
      <c r="T731" s="5" t="s">
        <v>19</v>
      </c>
      <c r="U731" s="5" t="s">
        <v>19</v>
      </c>
      <c r="V731" s="5" t="s">
        <v>19</v>
      </c>
      <c r="W731" s="5" t="s">
        <v>19</v>
      </c>
      <c r="X731" s="19">
        <f t="shared" si="5"/>
        <v>2.7170000000000001</v>
      </c>
    </row>
    <row r="732" spans="1:24">
      <c r="A732" t="s">
        <v>19</v>
      </c>
      <c r="B732" t="s">
        <v>209</v>
      </c>
      <c r="C732" t="s">
        <v>20</v>
      </c>
      <c r="D732" t="s">
        <v>25</v>
      </c>
      <c r="E732" t="s">
        <v>19</v>
      </c>
      <c r="F732" t="s">
        <v>19</v>
      </c>
      <c r="G732" t="s">
        <v>19</v>
      </c>
      <c r="H732" t="s">
        <v>64</v>
      </c>
      <c r="I732" t="s">
        <v>19</v>
      </c>
      <c r="J732" t="s">
        <v>74</v>
      </c>
      <c r="K732" s="21" t="str">
        <f>IF(X732&lt;=0.9,HYPERLINK("http://www.lxhausys.co.kr/popup/rn/download/downloadPopup.jsp?from=plwindow&amp;uu=/upload/window/REPORT/LGH-TW18-071.pdf","1등급"),IF(X732&lt;=1.2,HYPERLINK("http://www.lxhausys.co.kr/popup/rn/download/downloadPopup.jsp?from=plwindow&amp;uu=/upload/window/REPORT/LGH-TW18-071.pdf","2등급"),IF(X732&lt;=1.8,HYPERLINK("http://www.lxhausys.co.kr/popup/rn/download/downloadPopup.jsp?from=plwindow&amp;uu=/upload/window/REPORT/LGH-TW18-071.pdf","3등급"),IF(X732&lt;=2.3,HYPERLINK("http://www.lxhausys.co.kr/popup/rn/download/downloadPopup.jsp?from=plwindow&amp;uu=/upload/window/REPORT/LGH-TW18-071.pdf","4등급"),IF(X732&lt;=2.8,HYPERLINK("http://www.lxhausys.co.kr/popup/rn/download/downloadPopup.jsp?from=plwindow&amp;uu=/upload/window/REPORT/LGH-TW18-071.pdf","5등급"),HYPERLINK("http://www.lxhausys.co.kr/popup/rn/download/downloadPopup.jsp?from=plwindow&amp;uu=/upload/window/REPORT/LGH-TW18-071.pdf","등급외"))))))</f>
        <v>2등급</v>
      </c>
      <c r="L732" s="5">
        <v>0.9840000000000001</v>
      </c>
      <c r="M732" s="5" t="s">
        <v>22</v>
      </c>
      <c r="N732" s="5" t="s">
        <v>607</v>
      </c>
      <c r="O732" s="5" t="s">
        <v>19</v>
      </c>
      <c r="P732" s="5" t="s">
        <v>19</v>
      </c>
      <c r="Q732" s="5" t="s">
        <v>19</v>
      </c>
      <c r="R732" s="5" t="s">
        <v>19</v>
      </c>
      <c r="S732" s="5" t="s">
        <v>19</v>
      </c>
      <c r="T732" s="5" t="s">
        <v>19</v>
      </c>
      <c r="U732" s="5" t="s">
        <v>19</v>
      </c>
      <c r="V732" s="5" t="s">
        <v>19</v>
      </c>
      <c r="W732" s="5" t="s">
        <v>19</v>
      </c>
      <c r="X732" s="19">
        <f t="shared" si="5"/>
        <v>0.9840000000000001</v>
      </c>
    </row>
    <row r="733" spans="1:24">
      <c r="A733" t="s">
        <v>19</v>
      </c>
      <c r="B733" t="s">
        <v>209</v>
      </c>
      <c r="C733" t="s">
        <v>20</v>
      </c>
      <c r="D733" t="s">
        <v>25</v>
      </c>
      <c r="E733" t="s">
        <v>19</v>
      </c>
      <c r="F733" t="s">
        <v>19</v>
      </c>
      <c r="G733" t="s">
        <v>19</v>
      </c>
      <c r="H733" t="s">
        <v>25</v>
      </c>
      <c r="I733" t="s">
        <v>19</v>
      </c>
      <c r="J733" t="s">
        <v>74</v>
      </c>
      <c r="K733" s="21" t="str">
        <f>IF(X733&lt;=0.9,HYPERLINK("http://www.lxhausys.co.kr/popup/rn/download/downloadPopup.jsp?from=plwindow&amp;uu=/upload/window/REPORT/LGH-TW18-072.pdf","1등급"),IF(X733&lt;=1.2,HYPERLINK("http://www.lxhausys.co.kr/popup/rn/download/downloadPopup.jsp?from=plwindow&amp;uu=/upload/window/REPORT/LGH-TW18-072.pdf","2등급"),IF(X733&lt;=1.8,HYPERLINK("http://www.lxhausys.co.kr/popup/rn/download/downloadPopup.jsp?from=plwindow&amp;uu=/upload/window/REPORT/LGH-TW18-072.pdf","3등급"),IF(X733&lt;=2.3,HYPERLINK("http://www.lxhausys.co.kr/popup/rn/download/downloadPopup.jsp?from=plwindow&amp;uu=/upload/window/REPORT/LGH-TW18-072.pdf","4등급"),IF(X733&lt;=2.8,HYPERLINK("http://www.lxhausys.co.kr/popup/rn/download/downloadPopup.jsp?from=plwindow&amp;uu=/upload/window/REPORT/LGH-TW18-072.pdf","5등급"),HYPERLINK("http://www.lxhausys.co.kr/popup/rn/download/downloadPopup.jsp?from=plwindow&amp;uu=/upload/window/REPORT/LGH-TW18-072.pdf","등급외"))))))</f>
        <v>3등급</v>
      </c>
      <c r="L733" s="5">
        <v>1.2250000000000001</v>
      </c>
      <c r="M733" s="5" t="s">
        <v>22</v>
      </c>
      <c r="N733" s="5" t="s">
        <v>607</v>
      </c>
      <c r="O733" s="5" t="s">
        <v>19</v>
      </c>
      <c r="P733" s="5" t="s">
        <v>19</v>
      </c>
      <c r="Q733" s="5" t="s">
        <v>19</v>
      </c>
      <c r="R733" s="5" t="s">
        <v>19</v>
      </c>
      <c r="S733" s="5" t="s">
        <v>19</v>
      </c>
      <c r="T733" s="5" t="s">
        <v>19</v>
      </c>
      <c r="U733" s="5" t="s">
        <v>19</v>
      </c>
      <c r="V733" s="5" t="s">
        <v>19</v>
      </c>
      <c r="W733" s="5" t="s">
        <v>19</v>
      </c>
      <c r="X733" s="19">
        <f t="shared" si="5"/>
        <v>1.2250000000000001</v>
      </c>
    </row>
    <row r="734" spans="1:24">
      <c r="A734" t="s">
        <v>19</v>
      </c>
      <c r="B734" t="s">
        <v>209</v>
      </c>
      <c r="C734" t="s">
        <v>20</v>
      </c>
      <c r="D734" t="s">
        <v>68</v>
      </c>
      <c r="E734" t="s">
        <v>19</v>
      </c>
      <c r="F734" t="s">
        <v>19</v>
      </c>
      <c r="G734" t="s">
        <v>19</v>
      </c>
      <c r="H734" t="s">
        <v>102</v>
      </c>
      <c r="I734" t="s">
        <v>19</v>
      </c>
      <c r="J734" t="s">
        <v>74</v>
      </c>
      <c r="K734" s="21" t="str">
        <f>IF(X734&lt;=0.9,HYPERLINK("http://www.lxhausys.co.kr/popup/rn/download/downloadPopup.jsp?from=plwindow&amp;uu=/upload/window/REPORT/LGH-TW18-073.pdf","1등급"),IF(X734&lt;=1.2,HYPERLINK("http://www.lxhausys.co.kr/popup/rn/download/downloadPopup.jsp?from=plwindow&amp;uu=/upload/window/REPORT/LGH-TW18-073.pdf","2등급"),IF(X734&lt;=1.8,HYPERLINK("http://www.lxhausys.co.kr/popup/rn/download/downloadPopup.jsp?from=plwindow&amp;uu=/upload/window/REPORT/LGH-TW18-073.pdf","3등급"),IF(X734&lt;=2.3,HYPERLINK("http://www.lxhausys.co.kr/popup/rn/download/downloadPopup.jsp?from=plwindow&amp;uu=/upload/window/REPORT/LGH-TW18-073.pdf","4등급"),IF(X734&lt;=2.8,HYPERLINK("http://www.lxhausys.co.kr/popup/rn/download/downloadPopup.jsp?from=plwindow&amp;uu=/upload/window/REPORT/LGH-TW18-073.pdf","5등급"),HYPERLINK("http://www.lxhausys.co.kr/popup/rn/download/downloadPopup.jsp?from=plwindow&amp;uu=/upload/window/REPORT/LGH-TW18-073.pdf","등급외"))))))</f>
        <v>2등급</v>
      </c>
      <c r="L734" s="5">
        <v>0.97900000000000009</v>
      </c>
      <c r="M734" s="5" t="s">
        <v>22</v>
      </c>
      <c r="N734" s="5" t="s">
        <v>607</v>
      </c>
      <c r="O734" s="5" t="s">
        <v>19</v>
      </c>
      <c r="P734" s="5" t="s">
        <v>19</v>
      </c>
      <c r="Q734" s="5" t="s">
        <v>19</v>
      </c>
      <c r="R734" s="5" t="s">
        <v>19</v>
      </c>
      <c r="S734" s="5" t="s">
        <v>19</v>
      </c>
      <c r="T734" s="5" t="s">
        <v>19</v>
      </c>
      <c r="U734" s="5" t="s">
        <v>19</v>
      </c>
      <c r="V734" s="5" t="s">
        <v>19</v>
      </c>
      <c r="W734" s="5" t="s">
        <v>19</v>
      </c>
      <c r="X734" s="19">
        <f t="shared" si="5"/>
        <v>0.97900000000000009</v>
      </c>
    </row>
    <row r="735" spans="1:24">
      <c r="A735" t="s">
        <v>19</v>
      </c>
      <c r="B735" t="s">
        <v>209</v>
      </c>
      <c r="C735" t="s">
        <v>20</v>
      </c>
      <c r="D735" t="s">
        <v>68</v>
      </c>
      <c r="E735" t="s">
        <v>19</v>
      </c>
      <c r="F735" t="s">
        <v>19</v>
      </c>
      <c r="G735" t="s">
        <v>19</v>
      </c>
      <c r="H735" t="s">
        <v>68</v>
      </c>
      <c r="I735" t="s">
        <v>19</v>
      </c>
      <c r="J735" t="s">
        <v>74</v>
      </c>
      <c r="K735" s="21" t="str">
        <f>IF(X735&lt;=0.9,HYPERLINK("http://www.lxhausys.co.kr/popup/rn/download/downloadPopup.jsp?from=plwindow&amp;uu=/upload/window/REPORT/LGH-TW18-074.pdf","1등급"),IF(X735&lt;=1.2,HYPERLINK("http://www.lxhausys.co.kr/popup/rn/download/downloadPopup.jsp?from=plwindow&amp;uu=/upload/window/REPORT/LGH-TW18-074.pdf","2등급"),IF(X735&lt;=1.8,HYPERLINK("http://www.lxhausys.co.kr/popup/rn/download/downloadPopup.jsp?from=plwindow&amp;uu=/upload/window/REPORT/LGH-TW18-074.pdf","3등급"),IF(X735&lt;=2.3,HYPERLINK("http://www.lxhausys.co.kr/popup/rn/download/downloadPopup.jsp?from=plwindow&amp;uu=/upload/window/REPORT/LGH-TW18-074.pdf","4등급"),IF(X735&lt;=2.8,HYPERLINK("http://www.lxhausys.co.kr/popup/rn/download/downloadPopup.jsp?from=plwindow&amp;uu=/upload/window/REPORT/LGH-TW18-074.pdf","5등급"),HYPERLINK("http://www.lxhausys.co.kr/popup/rn/download/downloadPopup.jsp?from=plwindow&amp;uu=/upload/window/REPORT/LGH-TW18-074.pdf","등급외"))))))</f>
        <v>3등급</v>
      </c>
      <c r="L735" s="5">
        <v>1.2090000000000001</v>
      </c>
      <c r="M735" s="5" t="s">
        <v>22</v>
      </c>
      <c r="N735" s="5" t="s">
        <v>607</v>
      </c>
      <c r="O735" s="5" t="s">
        <v>19</v>
      </c>
      <c r="P735" s="5" t="s">
        <v>19</v>
      </c>
      <c r="Q735" s="5" t="s">
        <v>19</v>
      </c>
      <c r="R735" s="5" t="s">
        <v>19</v>
      </c>
      <c r="S735" s="5" t="s">
        <v>19</v>
      </c>
      <c r="T735" s="5" t="s">
        <v>19</v>
      </c>
      <c r="U735" s="5" t="s">
        <v>19</v>
      </c>
      <c r="V735" s="5" t="s">
        <v>19</v>
      </c>
      <c r="W735" s="5" t="s">
        <v>19</v>
      </c>
      <c r="X735" s="19">
        <f t="shared" si="5"/>
        <v>1.2090000000000001</v>
      </c>
    </row>
    <row r="736" spans="1:24">
      <c r="A736" t="s">
        <v>19</v>
      </c>
      <c r="B736" t="s">
        <v>210</v>
      </c>
      <c r="C736" t="s">
        <v>20</v>
      </c>
      <c r="D736" t="s">
        <v>25</v>
      </c>
      <c r="E736" t="s">
        <v>19</v>
      </c>
      <c r="F736" t="s">
        <v>19</v>
      </c>
      <c r="G736" t="s">
        <v>19</v>
      </c>
      <c r="H736" t="s">
        <v>64</v>
      </c>
      <c r="I736" t="s">
        <v>19</v>
      </c>
      <c r="J736" t="s">
        <v>74</v>
      </c>
      <c r="K736" s="21" t="str">
        <f>IF(X736&lt;=0.9,HYPERLINK("http://www.lxhausys.co.kr/popup/rn/download/downloadPopup.jsp?from=plwindow&amp;uu=/upload/window/REPORT/LGH-TW18-075.pdf","1등급"),IF(X736&lt;=1.2,HYPERLINK("http://www.lxhausys.co.kr/popup/rn/download/downloadPopup.jsp?from=plwindow&amp;uu=/upload/window/REPORT/LGH-TW18-075.pdf","2등급"),IF(X736&lt;=1.8,HYPERLINK("http://www.lxhausys.co.kr/popup/rn/download/downloadPopup.jsp?from=plwindow&amp;uu=/upload/window/REPORT/LGH-TW18-075.pdf","3등급"),IF(X736&lt;=2.3,HYPERLINK("http://www.lxhausys.co.kr/popup/rn/download/downloadPopup.jsp?from=plwindow&amp;uu=/upload/window/REPORT/LGH-TW18-075.pdf","4등급"),IF(X736&lt;=2.8,HYPERLINK("http://www.lxhausys.co.kr/popup/rn/download/downloadPopup.jsp?from=plwindow&amp;uu=/upload/window/REPORT/LGH-TW18-075.pdf","5등급"),HYPERLINK("http://www.lxhausys.co.kr/popup/rn/download/downloadPopup.jsp?from=plwindow&amp;uu=/upload/window/REPORT/LGH-TW18-075.pdf","등급외"))))))</f>
        <v>2등급</v>
      </c>
      <c r="L736" s="5">
        <v>0.99299999999999999</v>
      </c>
      <c r="M736" s="5" t="s">
        <v>22</v>
      </c>
      <c r="N736" s="5" t="s">
        <v>607</v>
      </c>
      <c r="O736" s="5" t="s">
        <v>19</v>
      </c>
      <c r="P736" s="5" t="s">
        <v>19</v>
      </c>
      <c r="Q736" s="5" t="s">
        <v>19</v>
      </c>
      <c r="R736" s="5" t="s">
        <v>19</v>
      </c>
      <c r="S736" s="5" t="s">
        <v>19</v>
      </c>
      <c r="T736" s="5" t="s">
        <v>19</v>
      </c>
      <c r="U736" s="5" t="s">
        <v>19</v>
      </c>
      <c r="V736" s="5" t="s">
        <v>19</v>
      </c>
      <c r="W736" s="5" t="s">
        <v>19</v>
      </c>
      <c r="X736" s="19">
        <f t="shared" si="5"/>
        <v>0.99299999999999999</v>
      </c>
    </row>
    <row r="737" spans="1:24">
      <c r="A737" t="s">
        <v>19</v>
      </c>
      <c r="B737" t="s">
        <v>210</v>
      </c>
      <c r="C737" t="s">
        <v>20</v>
      </c>
      <c r="D737" t="s">
        <v>25</v>
      </c>
      <c r="E737" t="s">
        <v>19</v>
      </c>
      <c r="F737" t="s">
        <v>19</v>
      </c>
      <c r="G737" t="s">
        <v>19</v>
      </c>
      <c r="H737" t="s">
        <v>25</v>
      </c>
      <c r="I737" t="s">
        <v>19</v>
      </c>
      <c r="J737" t="s">
        <v>74</v>
      </c>
      <c r="K737" s="21" t="str">
        <f>IF(X737&lt;=0.9,HYPERLINK("http://www.lxhausys.co.kr/popup/rn/download/downloadPopup.jsp?from=plwindow&amp;uu=/upload/window/REPORT/LGH-TW18-076.pdf","1등급"),IF(X737&lt;=1.2,HYPERLINK("http://www.lxhausys.co.kr/popup/rn/download/downloadPopup.jsp?from=plwindow&amp;uu=/upload/window/REPORT/LGH-TW18-076.pdf","2등급"),IF(X737&lt;=1.8,HYPERLINK("http://www.lxhausys.co.kr/popup/rn/download/downloadPopup.jsp?from=plwindow&amp;uu=/upload/window/REPORT/LGH-TW18-076.pdf","3등급"),IF(X737&lt;=2.3,HYPERLINK("http://www.lxhausys.co.kr/popup/rn/download/downloadPopup.jsp?from=plwindow&amp;uu=/upload/window/REPORT/LGH-TW18-076.pdf","4등급"),IF(X737&lt;=2.8,HYPERLINK("http://www.lxhausys.co.kr/popup/rn/download/downloadPopup.jsp?from=plwindow&amp;uu=/upload/window/REPORT/LGH-TW18-076.pdf","5등급"),HYPERLINK("http://www.lxhausys.co.kr/popup/rn/download/downloadPopup.jsp?from=plwindow&amp;uu=/upload/window/REPORT/LGH-TW18-076.pdf","등급외"))))))</f>
        <v>3등급</v>
      </c>
      <c r="L737" s="5">
        <v>1.2350000000000001</v>
      </c>
      <c r="M737" s="5" t="s">
        <v>22</v>
      </c>
      <c r="N737" s="5" t="s">
        <v>607</v>
      </c>
      <c r="O737" s="5" t="s">
        <v>19</v>
      </c>
      <c r="P737" s="5" t="s">
        <v>19</v>
      </c>
      <c r="Q737" s="5" t="s">
        <v>19</v>
      </c>
      <c r="R737" s="5" t="s">
        <v>19</v>
      </c>
      <c r="S737" s="5" t="s">
        <v>19</v>
      </c>
      <c r="T737" s="5" t="s">
        <v>19</v>
      </c>
      <c r="U737" s="5" t="s">
        <v>19</v>
      </c>
      <c r="V737" s="5" t="s">
        <v>19</v>
      </c>
      <c r="W737" s="5" t="s">
        <v>19</v>
      </c>
      <c r="X737" s="19">
        <f t="shared" si="5"/>
        <v>1.2350000000000001</v>
      </c>
    </row>
    <row r="738" spans="1:24">
      <c r="A738" t="s">
        <v>19</v>
      </c>
      <c r="B738" t="s">
        <v>210</v>
      </c>
      <c r="C738" t="s">
        <v>20</v>
      </c>
      <c r="D738" t="s">
        <v>68</v>
      </c>
      <c r="E738" t="s">
        <v>19</v>
      </c>
      <c r="F738" t="s">
        <v>19</v>
      </c>
      <c r="G738" t="s">
        <v>19</v>
      </c>
      <c r="H738" t="s">
        <v>102</v>
      </c>
      <c r="I738" t="s">
        <v>19</v>
      </c>
      <c r="J738" t="s">
        <v>74</v>
      </c>
      <c r="K738" s="21" t="str">
        <f>IF(X738&lt;=0.9,HYPERLINK("http://www.lxhausys.co.kr/popup/rn/download/downloadPopup.jsp?from=plwindow&amp;uu=/upload/window/REPORT/LGH-TW18-077.pdf","1등급"),IF(X738&lt;=1.2,HYPERLINK("http://www.lxhausys.co.kr/popup/rn/download/downloadPopup.jsp?from=plwindow&amp;uu=/upload/window/REPORT/LGH-TW18-077.pdf","2등급"),IF(X738&lt;=1.8,HYPERLINK("http://www.lxhausys.co.kr/popup/rn/download/downloadPopup.jsp?from=plwindow&amp;uu=/upload/window/REPORT/LGH-TW18-077.pdf","3등급"),IF(X738&lt;=2.3,HYPERLINK("http://www.lxhausys.co.kr/popup/rn/download/downloadPopup.jsp?from=plwindow&amp;uu=/upload/window/REPORT/LGH-TW18-077.pdf","4등급"),IF(X738&lt;=2.8,HYPERLINK("http://www.lxhausys.co.kr/popup/rn/download/downloadPopup.jsp?from=plwindow&amp;uu=/upload/window/REPORT/LGH-TW18-077.pdf","5등급"),HYPERLINK("http://www.lxhausys.co.kr/popup/rn/download/downloadPopup.jsp?from=plwindow&amp;uu=/upload/window/REPORT/LGH-TW18-077.pdf","등급외"))))))</f>
        <v>2등급</v>
      </c>
      <c r="L738" s="5">
        <v>0.98599999999999999</v>
      </c>
      <c r="M738" s="5" t="s">
        <v>22</v>
      </c>
      <c r="N738" s="5" t="s">
        <v>607</v>
      </c>
      <c r="O738" s="5" t="s">
        <v>19</v>
      </c>
      <c r="P738" s="5" t="s">
        <v>19</v>
      </c>
      <c r="Q738" s="5" t="s">
        <v>19</v>
      </c>
      <c r="R738" s="5" t="s">
        <v>19</v>
      </c>
      <c r="S738" s="5" t="s">
        <v>19</v>
      </c>
      <c r="T738" s="5" t="s">
        <v>19</v>
      </c>
      <c r="U738" s="5" t="s">
        <v>19</v>
      </c>
      <c r="V738" s="5" t="s">
        <v>19</v>
      </c>
      <c r="W738" s="5" t="s">
        <v>19</v>
      </c>
      <c r="X738" s="19">
        <f t="shared" si="5"/>
        <v>0.98599999999999999</v>
      </c>
    </row>
    <row r="739" spans="1:24">
      <c r="A739" t="s">
        <v>19</v>
      </c>
      <c r="B739" t="s">
        <v>210</v>
      </c>
      <c r="C739" t="s">
        <v>20</v>
      </c>
      <c r="D739" t="s">
        <v>68</v>
      </c>
      <c r="E739" t="s">
        <v>19</v>
      </c>
      <c r="F739" t="s">
        <v>19</v>
      </c>
      <c r="G739" t="s">
        <v>19</v>
      </c>
      <c r="H739" t="s">
        <v>68</v>
      </c>
      <c r="I739" t="s">
        <v>19</v>
      </c>
      <c r="J739" t="s">
        <v>74</v>
      </c>
      <c r="K739" s="21" t="str">
        <f>IF(X739&lt;=0.9,HYPERLINK("http://www.lxhausys.co.kr/popup/rn/download/downloadPopup.jsp?from=plwindow&amp;uu=/upload/window/REPORT/LGH-TW18-078.pdf","1등급"),IF(X739&lt;=1.2,HYPERLINK("http://www.lxhausys.co.kr/popup/rn/download/downloadPopup.jsp?from=plwindow&amp;uu=/upload/window/REPORT/LGH-TW18-078.pdf","2등급"),IF(X739&lt;=1.8,HYPERLINK("http://www.lxhausys.co.kr/popup/rn/download/downloadPopup.jsp?from=plwindow&amp;uu=/upload/window/REPORT/LGH-TW18-078.pdf","3등급"),IF(X739&lt;=2.3,HYPERLINK("http://www.lxhausys.co.kr/popup/rn/download/downloadPopup.jsp?from=plwindow&amp;uu=/upload/window/REPORT/LGH-TW18-078.pdf","4등급"),IF(X739&lt;=2.8,HYPERLINK("http://www.lxhausys.co.kr/popup/rn/download/downloadPopup.jsp?from=plwindow&amp;uu=/upload/window/REPORT/LGH-TW18-078.pdf","5등급"),HYPERLINK("http://www.lxhausys.co.kr/popup/rn/download/downloadPopup.jsp?from=plwindow&amp;uu=/upload/window/REPORT/LGH-TW18-078.pdf","등급외"))))))</f>
        <v>3등급</v>
      </c>
      <c r="L739" s="5">
        <v>1.23</v>
      </c>
      <c r="M739" s="5" t="s">
        <v>22</v>
      </c>
      <c r="N739" s="5" t="s">
        <v>607</v>
      </c>
      <c r="O739" s="5" t="s">
        <v>19</v>
      </c>
      <c r="P739" s="5" t="s">
        <v>19</v>
      </c>
      <c r="Q739" s="5" t="s">
        <v>19</v>
      </c>
      <c r="R739" s="5" t="s">
        <v>19</v>
      </c>
      <c r="S739" s="5" t="s">
        <v>19</v>
      </c>
      <c r="T739" s="5" t="s">
        <v>19</v>
      </c>
      <c r="U739" s="5" t="s">
        <v>19</v>
      </c>
      <c r="V739" s="5" t="s">
        <v>19</v>
      </c>
      <c r="W739" s="5" t="s">
        <v>19</v>
      </c>
      <c r="X739" s="19">
        <f t="shared" si="5"/>
        <v>1.23</v>
      </c>
    </row>
    <row r="740" spans="1:24">
      <c r="A740" t="s">
        <v>19</v>
      </c>
      <c r="B740" t="s">
        <v>83</v>
      </c>
      <c r="C740" t="s">
        <v>34</v>
      </c>
      <c r="D740" t="s">
        <v>28</v>
      </c>
      <c r="E740" t="s">
        <v>19</v>
      </c>
      <c r="F740" t="s">
        <v>19</v>
      </c>
      <c r="G740" t="s">
        <v>19</v>
      </c>
      <c r="H740" t="s">
        <v>19</v>
      </c>
      <c r="I740" t="s">
        <v>19</v>
      </c>
      <c r="J740" t="s">
        <v>74</v>
      </c>
      <c r="K740" s="21" t="s">
        <v>607</v>
      </c>
      <c r="L740" s="5" t="s">
        <v>19</v>
      </c>
      <c r="M740" s="5" t="s">
        <v>19</v>
      </c>
      <c r="N740" s="5" t="str">
        <f>HYPERLINK("http://www.lghausys.co.kr/popup/rn/download/downloadPopup.jsp?from=plwindow&amp;uu=/upload/window/REPORT/LGH-TA18-142.pdf","2.217")</f>
        <v>2.217</v>
      </c>
      <c r="O740" s="5" t="s">
        <v>19</v>
      </c>
      <c r="P740" s="5" t="s">
        <v>19</v>
      </c>
      <c r="Q740" s="5" t="s">
        <v>19</v>
      </c>
      <c r="R740" s="5" t="s">
        <v>19</v>
      </c>
      <c r="S740" s="5" t="s">
        <v>19</v>
      </c>
      <c r="T740" s="5" t="s">
        <v>19</v>
      </c>
      <c r="U740" s="5" t="s">
        <v>19</v>
      </c>
      <c r="V740" s="5" t="s">
        <v>19</v>
      </c>
      <c r="W740" s="5" t="s">
        <v>75</v>
      </c>
      <c r="X740"/>
    </row>
    <row r="741" spans="1:24">
      <c r="A741" t="s">
        <v>42</v>
      </c>
      <c r="B741" t="s">
        <v>43</v>
      </c>
      <c r="C741" t="s">
        <v>31</v>
      </c>
      <c r="D741" t="s">
        <v>28</v>
      </c>
      <c r="E741" t="s">
        <v>19</v>
      </c>
      <c r="F741" t="s">
        <v>19</v>
      </c>
      <c r="G741" t="s">
        <v>19</v>
      </c>
      <c r="H741" t="s">
        <v>19</v>
      </c>
      <c r="I741" t="s">
        <v>19</v>
      </c>
      <c r="J741" t="s">
        <v>74</v>
      </c>
      <c r="K741" s="21" t="s">
        <v>607</v>
      </c>
      <c r="L741" s="5" t="s">
        <v>19</v>
      </c>
      <c r="M741" s="5" t="s">
        <v>19</v>
      </c>
      <c r="N741" s="5" t="s">
        <v>19</v>
      </c>
      <c r="O741" s="5" t="str">
        <f>HYPERLINK("http://www.lghausys.co.kr/popup/rn/download/downloadPopup.jsp?from=plwindow&amp;uu=/upload/window/REPORT/LGH-WA18-147.pdf","1등급")</f>
        <v>1등급</v>
      </c>
      <c r="P741" s="5" t="s">
        <v>19</v>
      </c>
      <c r="Q741" s="5" t="s">
        <v>19</v>
      </c>
      <c r="R741" s="5" t="s">
        <v>19</v>
      </c>
      <c r="S741" s="5" t="s">
        <v>19</v>
      </c>
      <c r="T741" s="5" t="s">
        <v>19</v>
      </c>
      <c r="U741" s="5" t="s">
        <v>19</v>
      </c>
      <c r="V741" s="5" t="s">
        <v>19</v>
      </c>
      <c r="W741" s="5" t="s">
        <v>152</v>
      </c>
      <c r="X741"/>
    </row>
    <row r="742" spans="1:24">
      <c r="A742" t="s">
        <v>19</v>
      </c>
      <c r="B742" t="s">
        <v>49</v>
      </c>
      <c r="C742" t="s">
        <v>31</v>
      </c>
      <c r="D742" t="s">
        <v>212</v>
      </c>
      <c r="E742" t="s">
        <v>19</v>
      </c>
      <c r="F742" t="s">
        <v>19</v>
      </c>
      <c r="G742" t="s">
        <v>19</v>
      </c>
      <c r="H742" t="s">
        <v>19</v>
      </c>
      <c r="I742" t="s">
        <v>19</v>
      </c>
      <c r="J742" t="s">
        <v>74</v>
      </c>
      <c r="K742" s="21" t="s">
        <v>607</v>
      </c>
      <c r="L742" s="5" t="s">
        <v>19</v>
      </c>
      <c r="M742" s="5" t="s">
        <v>19</v>
      </c>
      <c r="N742" s="5" t="s">
        <v>19</v>
      </c>
      <c r="O742" s="5" t="str">
        <f>HYPERLINK("http://www.lghausys.co.kr/popup/rn/download/downloadPopup.jsp?from=plwindow&amp;uu=/upload/window/REPORT/LGH-WA18-148.pdf","2등급")</f>
        <v>2등급</v>
      </c>
      <c r="P742" s="5" t="s">
        <v>19</v>
      </c>
      <c r="Q742" s="5" t="s">
        <v>19</v>
      </c>
      <c r="R742" s="5" t="s">
        <v>19</v>
      </c>
      <c r="S742" s="5" t="s">
        <v>19</v>
      </c>
      <c r="T742" s="5" t="s">
        <v>19</v>
      </c>
      <c r="U742" s="5" t="s">
        <v>19</v>
      </c>
      <c r="V742" s="5" t="s">
        <v>19</v>
      </c>
      <c r="W742" s="5" t="s">
        <v>152</v>
      </c>
      <c r="X742"/>
    </row>
    <row r="743" spans="1:24">
      <c r="A743" t="s">
        <v>19</v>
      </c>
      <c r="B743" t="s">
        <v>213</v>
      </c>
      <c r="C743" t="s">
        <v>20</v>
      </c>
      <c r="D743" t="s">
        <v>25</v>
      </c>
      <c r="E743" t="s">
        <v>19</v>
      </c>
      <c r="F743" t="s">
        <v>19</v>
      </c>
      <c r="G743" t="s">
        <v>19</v>
      </c>
      <c r="H743" t="s">
        <v>25</v>
      </c>
      <c r="I743" t="s">
        <v>19</v>
      </c>
      <c r="J743" t="s">
        <v>74</v>
      </c>
      <c r="K743" s="21" t="str">
        <f>IF(X743&lt;=0.9,HYPERLINK("http://www.lxhausys.co.kr/popup/rn/download/downloadPopup.jsp?from=plwindow&amp;uu=/upload/window/REPORT/LGH-TW18-079.pdf","1등급"),IF(X743&lt;=1.2,HYPERLINK("http://www.lxhausys.co.kr/popup/rn/download/downloadPopup.jsp?from=plwindow&amp;uu=/upload/window/REPORT/LGH-TW18-079.pdf","2등급"),IF(X743&lt;=1.8,HYPERLINK("http://www.lxhausys.co.kr/popup/rn/download/downloadPopup.jsp?from=plwindow&amp;uu=/upload/window/REPORT/LGH-TW18-079.pdf","3등급"),IF(X743&lt;=2.3,HYPERLINK("http://www.lxhausys.co.kr/popup/rn/download/downloadPopup.jsp?from=plwindow&amp;uu=/upload/window/REPORT/LGH-TW18-079.pdf","4등급"),IF(X743&lt;=2.8,HYPERLINK("http://www.lxhausys.co.kr/popup/rn/download/downloadPopup.jsp?from=plwindow&amp;uu=/upload/window/REPORT/LGH-TW18-079.pdf","5등급"),HYPERLINK("http://www.lxhausys.co.kr/popup/rn/download/downloadPopup.jsp?from=plwindow&amp;uu=/upload/window/REPORT/LGH-TW18-079.pdf","등급외"))))))</f>
        <v>3등급</v>
      </c>
      <c r="L743" s="5">
        <v>1.232</v>
      </c>
      <c r="M743" s="5" t="s">
        <v>22</v>
      </c>
      <c r="N743" s="5" t="s">
        <v>607</v>
      </c>
      <c r="O743" s="5" t="s">
        <v>19</v>
      </c>
      <c r="P743" s="5" t="s">
        <v>19</v>
      </c>
      <c r="Q743" s="5" t="s">
        <v>19</v>
      </c>
      <c r="R743" s="5" t="s">
        <v>19</v>
      </c>
      <c r="S743" s="5" t="s">
        <v>19</v>
      </c>
      <c r="T743" s="5" t="s">
        <v>19</v>
      </c>
      <c r="U743" s="5" t="s">
        <v>19</v>
      </c>
      <c r="V743" s="5" t="s">
        <v>19</v>
      </c>
      <c r="W743" s="5" t="s">
        <v>19</v>
      </c>
      <c r="X743" s="19">
        <f>L743</f>
        <v>1.232</v>
      </c>
    </row>
    <row r="744" spans="1:24">
      <c r="A744" t="s">
        <v>19</v>
      </c>
      <c r="B744" t="s">
        <v>213</v>
      </c>
      <c r="C744" t="s">
        <v>20</v>
      </c>
      <c r="D744" t="s">
        <v>68</v>
      </c>
      <c r="E744" t="s">
        <v>19</v>
      </c>
      <c r="F744" t="s">
        <v>19</v>
      </c>
      <c r="G744" t="s">
        <v>19</v>
      </c>
      <c r="H744" t="s">
        <v>68</v>
      </c>
      <c r="I744" t="s">
        <v>19</v>
      </c>
      <c r="J744" t="s">
        <v>74</v>
      </c>
      <c r="K744" s="21" t="str">
        <f>IF(X744&lt;=0.9,HYPERLINK("http://www.lxhausys.co.kr/popup/rn/download/downloadPopup.jsp?from=plwindow&amp;uu=/upload/window/REPORT/LGH-TW18-081.pdf","1등급"),IF(X744&lt;=1.2,HYPERLINK("http://www.lxhausys.co.kr/popup/rn/download/downloadPopup.jsp?from=plwindow&amp;uu=/upload/window/REPORT/LGH-TW18-081.pdf","2등급"),IF(X744&lt;=1.8,HYPERLINK("http://www.lxhausys.co.kr/popup/rn/download/downloadPopup.jsp?from=plwindow&amp;uu=/upload/window/REPORT/LGH-TW18-081.pdf","3등급"),IF(X744&lt;=2.3,HYPERLINK("http://www.lxhausys.co.kr/popup/rn/download/downloadPopup.jsp?from=plwindow&amp;uu=/upload/window/REPORT/LGH-TW18-081.pdf","4등급"),IF(X744&lt;=2.8,HYPERLINK("http://www.lxhausys.co.kr/popup/rn/download/downloadPopup.jsp?from=plwindow&amp;uu=/upload/window/REPORT/LGH-TW18-081.pdf","5등급"),HYPERLINK("http://www.lxhausys.co.kr/popup/rn/download/downloadPopup.jsp?from=plwindow&amp;uu=/upload/window/REPORT/LGH-TW18-081.pdf","등급외"))))))</f>
        <v>3등급</v>
      </c>
      <c r="L744" s="5">
        <v>1.2090000000000001</v>
      </c>
      <c r="M744" s="5" t="s">
        <v>22</v>
      </c>
      <c r="N744" s="5" t="s">
        <v>607</v>
      </c>
      <c r="O744" s="5" t="s">
        <v>19</v>
      </c>
      <c r="P744" s="5" t="s">
        <v>19</v>
      </c>
      <c r="Q744" s="5" t="s">
        <v>19</v>
      </c>
      <c r="R744" s="5" t="s">
        <v>19</v>
      </c>
      <c r="S744" s="5" t="s">
        <v>19</v>
      </c>
      <c r="T744" s="5" t="s">
        <v>19</v>
      </c>
      <c r="U744" s="5" t="s">
        <v>19</v>
      </c>
      <c r="V744" s="5" t="s">
        <v>19</v>
      </c>
      <c r="W744" s="5" t="s">
        <v>19</v>
      </c>
      <c r="X744" s="19">
        <f>L744</f>
        <v>1.2090000000000001</v>
      </c>
    </row>
    <row r="745" spans="1:24">
      <c r="A745" t="s">
        <v>61</v>
      </c>
      <c r="B745" t="s">
        <v>19</v>
      </c>
      <c r="C745" t="s">
        <v>20</v>
      </c>
      <c r="D745" t="s">
        <v>126</v>
      </c>
      <c r="E745" t="s">
        <v>19</v>
      </c>
      <c r="F745" t="s">
        <v>19</v>
      </c>
      <c r="G745" t="s">
        <v>19</v>
      </c>
      <c r="H745" t="s">
        <v>19</v>
      </c>
      <c r="I745" t="s">
        <v>19</v>
      </c>
      <c r="J745" t="s">
        <v>74</v>
      </c>
      <c r="K745" s="21" t="str">
        <f>IF(X745&lt;=0.9,HYPERLINK("http://www.lxhausys.co.kr/popup/rn/download/downloadPopup.jsp?from=plwindow&amp;uu=/upload/window/REPORT/LGH-TW18-083.pdf","1등급"),IF(X745&lt;=1.2,HYPERLINK("http://www.lxhausys.co.kr/popup/rn/download/downloadPopup.jsp?from=plwindow&amp;uu=/upload/window/REPORT/LGH-TW18-083.pdf","2등급"),IF(X745&lt;=1.8,HYPERLINK("http://www.lxhausys.co.kr/popup/rn/download/downloadPopup.jsp?from=plwindow&amp;uu=/upload/window/REPORT/LGH-TW18-083.pdf","3등급"),IF(X745&lt;=2.3,HYPERLINK("http://www.lxhausys.co.kr/popup/rn/download/downloadPopup.jsp?from=plwindow&amp;uu=/upload/window/REPORT/LGH-TW18-083.pdf","4등급"),IF(X745&lt;=2.8,HYPERLINK("http://www.lxhausys.co.kr/popup/rn/download/downloadPopup.jsp?from=plwindow&amp;uu=/upload/window/REPORT/LGH-TW18-083.pdf","5등급"),HYPERLINK("http://www.lxhausys.co.kr/popup/rn/download/downloadPopup.jsp?from=plwindow&amp;uu=/upload/window/REPORT/LGH-TW18-083.pdf","등급외"))))))</f>
        <v>3등급</v>
      </c>
      <c r="L745" s="5">
        <v>1.621</v>
      </c>
      <c r="M745" s="5" t="s">
        <v>103</v>
      </c>
      <c r="N745" s="5" t="s">
        <v>607</v>
      </c>
      <c r="O745" s="5" t="s">
        <v>19</v>
      </c>
      <c r="P745" s="5" t="s">
        <v>19</v>
      </c>
      <c r="Q745" s="5" t="s">
        <v>19</v>
      </c>
      <c r="R745" s="5" t="s">
        <v>19</v>
      </c>
      <c r="S745" s="5" t="s">
        <v>19</v>
      </c>
      <c r="T745" s="5" t="s">
        <v>19</v>
      </c>
      <c r="U745" s="5" t="s">
        <v>19</v>
      </c>
      <c r="V745" s="5" t="s">
        <v>19</v>
      </c>
      <c r="W745" s="5" t="s">
        <v>19</v>
      </c>
      <c r="X745" s="19">
        <f>L745</f>
        <v>1.621</v>
      </c>
    </row>
    <row r="746" spans="1:24">
      <c r="A746" t="s">
        <v>136</v>
      </c>
      <c r="B746" t="s">
        <v>19</v>
      </c>
      <c r="C746" t="s">
        <v>34</v>
      </c>
      <c r="D746" t="s">
        <v>28</v>
      </c>
      <c r="E746" t="s">
        <v>178</v>
      </c>
      <c r="F746" t="s">
        <v>19</v>
      </c>
      <c r="G746" t="s">
        <v>19</v>
      </c>
      <c r="H746" t="s">
        <v>19</v>
      </c>
      <c r="I746" t="s">
        <v>19</v>
      </c>
      <c r="J746" t="s">
        <v>74</v>
      </c>
      <c r="K746" s="21" t="s">
        <v>607</v>
      </c>
      <c r="L746" s="5" t="s">
        <v>19</v>
      </c>
      <c r="M746" s="5" t="s">
        <v>19</v>
      </c>
      <c r="N746" s="5" t="str">
        <f>HYPERLINK("http://www.lghausys.co.kr/popup/rn/download/downloadPopup.jsp?from=plwindow&amp;uu=/upload/window/REPORT/LGH-TA18-159.pdf","2.674")</f>
        <v>2.674</v>
      </c>
      <c r="O746" s="5" t="s">
        <v>19</v>
      </c>
      <c r="P746" s="5" t="s">
        <v>19</v>
      </c>
      <c r="Q746" s="5" t="s">
        <v>19</v>
      </c>
      <c r="R746" s="5" t="s">
        <v>19</v>
      </c>
      <c r="S746" s="5" t="s">
        <v>19</v>
      </c>
      <c r="T746" s="5" t="s">
        <v>19</v>
      </c>
      <c r="U746" s="5" t="s">
        <v>19</v>
      </c>
      <c r="V746" s="5" t="s">
        <v>19</v>
      </c>
      <c r="W746" s="5" t="s">
        <v>75</v>
      </c>
      <c r="X746"/>
    </row>
    <row r="747" spans="1:24">
      <c r="A747" t="s">
        <v>78</v>
      </c>
      <c r="B747" t="s">
        <v>19</v>
      </c>
      <c r="C747" t="s">
        <v>34</v>
      </c>
      <c r="D747" t="s">
        <v>25</v>
      </c>
      <c r="E747" t="s">
        <v>147</v>
      </c>
      <c r="F747" t="s">
        <v>19</v>
      </c>
      <c r="G747" t="s">
        <v>19</v>
      </c>
      <c r="H747" t="s">
        <v>19</v>
      </c>
      <c r="I747" t="s">
        <v>19</v>
      </c>
      <c r="J747" t="s">
        <v>97</v>
      </c>
      <c r="K747" s="21" t="s">
        <v>607</v>
      </c>
      <c r="L747" s="5" t="s">
        <v>19</v>
      </c>
      <c r="M747" s="5" t="s">
        <v>19</v>
      </c>
      <c r="N747" s="5" t="str">
        <f>HYPERLINK("http://www.lghausys.co.kr/popup/rn/download/downloadPopup.jsp?from=plwindow&amp;uu=/upload/window/REPORT/LGH-TA18-161.pdf","2.817")</f>
        <v>2.817</v>
      </c>
      <c r="O747" s="5" t="s">
        <v>19</v>
      </c>
      <c r="P747" s="5" t="s">
        <v>19</v>
      </c>
      <c r="Q747" s="5" t="s">
        <v>19</v>
      </c>
      <c r="R747" s="5" t="s">
        <v>19</v>
      </c>
      <c r="S747" s="5" t="s">
        <v>19</v>
      </c>
      <c r="T747" s="5" t="s">
        <v>19</v>
      </c>
      <c r="U747" s="5" t="s">
        <v>19</v>
      </c>
      <c r="V747" s="5" t="s">
        <v>19</v>
      </c>
      <c r="W747" s="5" t="s">
        <v>75</v>
      </c>
      <c r="X747"/>
    </row>
    <row r="748" spans="1:24">
      <c r="A748" t="s">
        <v>42</v>
      </c>
      <c r="B748" t="s">
        <v>43</v>
      </c>
      <c r="C748" t="s">
        <v>34</v>
      </c>
      <c r="D748" t="s">
        <v>41</v>
      </c>
      <c r="E748" t="s">
        <v>19</v>
      </c>
      <c r="F748" t="s">
        <v>19</v>
      </c>
      <c r="G748" t="s">
        <v>19</v>
      </c>
      <c r="H748" t="s">
        <v>19</v>
      </c>
      <c r="I748" t="s">
        <v>19</v>
      </c>
      <c r="J748" t="s">
        <v>145</v>
      </c>
      <c r="K748" s="21" t="s">
        <v>607</v>
      </c>
      <c r="L748" s="5" t="s">
        <v>19</v>
      </c>
      <c r="M748" s="5" t="s">
        <v>19</v>
      </c>
      <c r="N748" s="5" t="str">
        <f>HYPERLINK("http://www.lghausys.co.kr/popup/rn/download/downloadPopup.jsp?from=plwindow&amp;uu=/upload/window/REPORT/LGH-TA18-162.pdf","3.145")</f>
        <v>3.145</v>
      </c>
      <c r="O748" s="5" t="s">
        <v>19</v>
      </c>
      <c r="P748" s="5" t="s">
        <v>19</v>
      </c>
      <c r="Q748" s="5" t="s">
        <v>19</v>
      </c>
      <c r="R748" s="5" t="s">
        <v>19</v>
      </c>
      <c r="S748" s="5" t="s">
        <v>19</v>
      </c>
      <c r="T748" s="5" t="s">
        <v>19</v>
      </c>
      <c r="U748" s="5" t="s">
        <v>19</v>
      </c>
      <c r="V748" s="5" t="s">
        <v>19</v>
      </c>
      <c r="W748" s="5" t="s">
        <v>75</v>
      </c>
      <c r="X748"/>
    </row>
    <row r="749" spans="1:24">
      <c r="A749" t="s">
        <v>69</v>
      </c>
      <c r="B749" t="s">
        <v>19</v>
      </c>
      <c r="C749" t="s">
        <v>34</v>
      </c>
      <c r="D749" t="s">
        <v>56</v>
      </c>
      <c r="E749" t="s">
        <v>19</v>
      </c>
      <c r="F749" t="s">
        <v>19</v>
      </c>
      <c r="G749" t="s">
        <v>19</v>
      </c>
      <c r="H749" t="s">
        <v>19</v>
      </c>
      <c r="I749" t="s">
        <v>19</v>
      </c>
      <c r="J749" t="s">
        <v>74</v>
      </c>
      <c r="K749" s="21" t="s">
        <v>607</v>
      </c>
      <c r="L749" s="5" t="s">
        <v>19</v>
      </c>
      <c r="M749" s="5" t="s">
        <v>19</v>
      </c>
      <c r="N749" s="5" t="str">
        <f>HYPERLINK("http://www.lghausys.co.kr/popup/rn/download/downloadPopup.jsp?from=plwindow&amp;uu=/upload/window/REPORT/LGH-TA18-165.pdf","1.739")</f>
        <v>1.739</v>
      </c>
      <c r="O749" s="5" t="s">
        <v>19</v>
      </c>
      <c r="P749" s="5" t="s">
        <v>19</v>
      </c>
      <c r="Q749" s="5" t="s">
        <v>19</v>
      </c>
      <c r="R749" s="5" t="s">
        <v>19</v>
      </c>
      <c r="S749" s="5" t="s">
        <v>19</v>
      </c>
      <c r="T749" s="5" t="s">
        <v>19</v>
      </c>
      <c r="U749" s="5" t="s">
        <v>19</v>
      </c>
      <c r="V749" s="5" t="s">
        <v>19</v>
      </c>
      <c r="W749" s="5" t="s">
        <v>75</v>
      </c>
      <c r="X749"/>
    </row>
    <row r="750" spans="1:24">
      <c r="A750" t="s">
        <v>44</v>
      </c>
      <c r="B750" t="s">
        <v>19</v>
      </c>
      <c r="C750" t="s">
        <v>34</v>
      </c>
      <c r="D750" t="s">
        <v>141</v>
      </c>
      <c r="E750" t="s">
        <v>19</v>
      </c>
      <c r="F750" t="s">
        <v>19</v>
      </c>
      <c r="G750" t="s">
        <v>19</v>
      </c>
      <c r="H750" t="s">
        <v>19</v>
      </c>
      <c r="I750" t="s">
        <v>19</v>
      </c>
      <c r="J750" t="s">
        <v>74</v>
      </c>
      <c r="K750" s="21" t="s">
        <v>607</v>
      </c>
      <c r="L750" s="5" t="s">
        <v>19</v>
      </c>
      <c r="M750" s="5" t="s">
        <v>19</v>
      </c>
      <c r="N750" s="5" t="str">
        <f>HYPERLINK("http://www.lghausys.co.kr/popup/rn/download/downloadPopup.jsp?from=plwindow&amp;uu=/upload/window/REPORT/LGH-TA18-166.pdf","1.229")</f>
        <v>1.229</v>
      </c>
      <c r="O750" s="5" t="s">
        <v>19</v>
      </c>
      <c r="P750" s="5" t="s">
        <v>19</v>
      </c>
      <c r="Q750" s="5" t="s">
        <v>19</v>
      </c>
      <c r="R750" s="5" t="s">
        <v>19</v>
      </c>
      <c r="S750" s="5" t="s">
        <v>19</v>
      </c>
      <c r="T750" s="5" t="s">
        <v>19</v>
      </c>
      <c r="U750" s="5" t="s">
        <v>19</v>
      </c>
      <c r="V750" s="5" t="s">
        <v>19</v>
      </c>
      <c r="W750" s="5" t="s">
        <v>75</v>
      </c>
      <c r="X750"/>
    </row>
    <row r="751" spans="1:24">
      <c r="A751" t="s">
        <v>214</v>
      </c>
      <c r="B751" t="s">
        <v>19</v>
      </c>
      <c r="C751" t="s">
        <v>31</v>
      </c>
      <c r="D751" t="s">
        <v>89</v>
      </c>
      <c r="E751" t="s">
        <v>215</v>
      </c>
      <c r="F751" t="s">
        <v>19</v>
      </c>
      <c r="G751" t="s">
        <v>182</v>
      </c>
      <c r="H751" t="s">
        <v>89</v>
      </c>
      <c r="I751" t="s">
        <v>19</v>
      </c>
      <c r="J751" t="s">
        <v>184</v>
      </c>
      <c r="K751" s="21" t="s">
        <v>607</v>
      </c>
      <c r="L751" s="5" t="s">
        <v>19</v>
      </c>
      <c r="M751" s="5" t="s">
        <v>19</v>
      </c>
      <c r="N751" s="5" t="s">
        <v>19</v>
      </c>
      <c r="O751" s="5" t="str">
        <f>HYPERLINK("http://www.lghausys.co.kr/popup/rn/download/downloadPopup.jsp?from=plwindow&amp;uu=/upload/window/REPORT/LGH-WA18-160.pdf","1등급")</f>
        <v>1등급</v>
      </c>
      <c r="P751" s="5" t="s">
        <v>19</v>
      </c>
      <c r="Q751" s="5" t="s">
        <v>19</v>
      </c>
      <c r="R751" s="5" t="s">
        <v>19</v>
      </c>
      <c r="S751" s="5" t="s">
        <v>19</v>
      </c>
      <c r="T751" s="5" t="s">
        <v>19</v>
      </c>
      <c r="U751" s="5" t="s">
        <v>19</v>
      </c>
      <c r="V751" s="5" t="s">
        <v>19</v>
      </c>
      <c r="W751" s="5" t="s">
        <v>152</v>
      </c>
      <c r="X751"/>
    </row>
    <row r="752" spans="1:24">
      <c r="A752" t="s">
        <v>52</v>
      </c>
      <c r="B752" t="s">
        <v>19</v>
      </c>
      <c r="C752" t="s">
        <v>34</v>
      </c>
      <c r="D752" t="s">
        <v>28</v>
      </c>
      <c r="E752" t="s">
        <v>19</v>
      </c>
      <c r="F752" t="s">
        <v>19</v>
      </c>
      <c r="G752" t="s">
        <v>19</v>
      </c>
      <c r="H752" t="s">
        <v>25</v>
      </c>
      <c r="I752" t="s">
        <v>19</v>
      </c>
      <c r="J752" t="s">
        <v>145</v>
      </c>
      <c r="K752" s="21" t="s">
        <v>607</v>
      </c>
      <c r="L752" s="5" t="s">
        <v>19</v>
      </c>
      <c r="M752" s="5" t="s">
        <v>19</v>
      </c>
      <c r="N752" s="5" t="str">
        <f>HYPERLINK("http://www.lghausys.co.kr/popup/rn/download/downloadPopup.jsp?from=plwindow&amp;uu=/upload/window/REPORT/LGH-TA18-174.pdf","1.05")</f>
        <v>1.05</v>
      </c>
      <c r="O752" s="5" t="s">
        <v>19</v>
      </c>
      <c r="P752" s="5" t="s">
        <v>19</v>
      </c>
      <c r="Q752" s="5" t="s">
        <v>19</v>
      </c>
      <c r="R752" s="5" t="s">
        <v>19</v>
      </c>
      <c r="S752" s="5" t="s">
        <v>19</v>
      </c>
      <c r="T752" s="5" t="s">
        <v>19</v>
      </c>
      <c r="U752" s="5" t="s">
        <v>19</v>
      </c>
      <c r="V752" s="5" t="s">
        <v>19</v>
      </c>
      <c r="W752" s="5" t="s">
        <v>75</v>
      </c>
      <c r="X752"/>
    </row>
    <row r="753" spans="1:24">
      <c r="A753" t="s">
        <v>133</v>
      </c>
      <c r="B753" t="s">
        <v>19</v>
      </c>
      <c r="C753" t="s">
        <v>34</v>
      </c>
      <c r="D753" t="s">
        <v>28</v>
      </c>
      <c r="E753" t="s">
        <v>216</v>
      </c>
      <c r="F753" t="s">
        <v>19</v>
      </c>
      <c r="G753" t="s">
        <v>19</v>
      </c>
      <c r="H753" t="s">
        <v>25</v>
      </c>
      <c r="I753" t="s">
        <v>19</v>
      </c>
      <c r="J753" t="s">
        <v>145</v>
      </c>
      <c r="K753" s="21" t="s">
        <v>607</v>
      </c>
      <c r="L753" s="5" t="s">
        <v>19</v>
      </c>
      <c r="M753" s="5" t="s">
        <v>19</v>
      </c>
      <c r="N753" s="5" t="str">
        <f>HYPERLINK("http://www.lghausys.co.kr/popup/rn/download/downloadPopup.jsp?from=plwindow&amp;uu=/upload/window/REPORT/LGH-TA18-176.pdf","1.012")</f>
        <v>1.012</v>
      </c>
      <c r="O753" s="5" t="s">
        <v>19</v>
      </c>
      <c r="P753" s="5" t="s">
        <v>19</v>
      </c>
      <c r="Q753" s="5" t="s">
        <v>19</v>
      </c>
      <c r="R753" s="5" t="s">
        <v>19</v>
      </c>
      <c r="S753" s="5" t="s">
        <v>19</v>
      </c>
      <c r="T753" s="5" t="s">
        <v>19</v>
      </c>
      <c r="U753" s="5" t="s">
        <v>19</v>
      </c>
      <c r="V753" s="5" t="s">
        <v>19</v>
      </c>
      <c r="W753" s="5" t="s">
        <v>75</v>
      </c>
      <c r="X753"/>
    </row>
    <row r="754" spans="1:24">
      <c r="A754" t="s">
        <v>19</v>
      </c>
      <c r="B754" t="s">
        <v>83</v>
      </c>
      <c r="C754" t="s">
        <v>34</v>
      </c>
      <c r="D754" t="s">
        <v>21</v>
      </c>
      <c r="E754" t="s">
        <v>19</v>
      </c>
      <c r="F754" t="s">
        <v>19</v>
      </c>
      <c r="G754" t="s">
        <v>19</v>
      </c>
      <c r="H754" t="s">
        <v>19</v>
      </c>
      <c r="I754" t="s">
        <v>19</v>
      </c>
      <c r="J754" t="s">
        <v>97</v>
      </c>
      <c r="K754" s="21" t="s">
        <v>607</v>
      </c>
      <c r="L754" s="5" t="s">
        <v>19</v>
      </c>
      <c r="M754" s="5" t="s">
        <v>19</v>
      </c>
      <c r="N754" s="5" t="str">
        <f>HYPERLINK("http://www.lghausys.co.kr/popup/rn/download/downloadPopup.jsp?from=plwindow&amp;uu=/upload/window/REPORT/LGH-TA18-177.pdf","1.825")</f>
        <v>1.825</v>
      </c>
      <c r="O754" s="5" t="s">
        <v>19</v>
      </c>
      <c r="P754" s="5" t="s">
        <v>19</v>
      </c>
      <c r="Q754" s="5" t="s">
        <v>19</v>
      </c>
      <c r="R754" s="5" t="s">
        <v>19</v>
      </c>
      <c r="S754" s="5" t="s">
        <v>19</v>
      </c>
      <c r="T754" s="5" t="s">
        <v>19</v>
      </c>
      <c r="U754" s="5" t="s">
        <v>19</v>
      </c>
      <c r="V754" s="5" t="s">
        <v>19</v>
      </c>
      <c r="W754" s="5" t="s">
        <v>75</v>
      </c>
      <c r="X754"/>
    </row>
    <row r="755" spans="1:24">
      <c r="A755" t="s">
        <v>130</v>
      </c>
      <c r="B755" t="s">
        <v>19</v>
      </c>
      <c r="C755" t="s">
        <v>20</v>
      </c>
      <c r="D755" t="s">
        <v>53</v>
      </c>
      <c r="E755" t="s">
        <v>19</v>
      </c>
      <c r="F755" t="s">
        <v>19</v>
      </c>
      <c r="G755" t="s">
        <v>19</v>
      </c>
      <c r="H755" t="s">
        <v>19</v>
      </c>
      <c r="I755" t="s">
        <v>19</v>
      </c>
      <c r="J755" t="s">
        <v>74</v>
      </c>
      <c r="K755" s="21" t="str">
        <f>IF(X755&lt;=0.9,HYPERLINK("http://www.lxhausys.co.kr/popup/rn/download/downloadPopup.jsp?from=plwindow&amp;uu=/upload/window/REPORT/LGH-TW18-094.pdf","1등급"),IF(X755&lt;=1.2,HYPERLINK("http://www.lxhausys.co.kr/popup/rn/download/downloadPopup.jsp?from=plwindow&amp;uu=/upload/window/REPORT/LGH-TW18-094.pdf","2등급"),IF(X755&lt;=1.8,HYPERLINK("http://www.lxhausys.co.kr/popup/rn/download/downloadPopup.jsp?from=plwindow&amp;uu=/upload/window/REPORT/LGH-TW18-094.pdf","3등급"),IF(X755&lt;=2.3,HYPERLINK("http://www.lxhausys.co.kr/popup/rn/download/downloadPopup.jsp?from=plwindow&amp;uu=/upload/window/REPORT/LGH-TW18-094.pdf","4등급"),IF(X755&lt;=2.8,HYPERLINK("http://www.lxhausys.co.kr/popup/rn/download/downloadPopup.jsp?from=plwindow&amp;uu=/upload/window/REPORT/LGH-TW18-094.pdf","5등급"),HYPERLINK("http://www.lxhausys.co.kr/popup/rn/download/downloadPopup.jsp?from=plwindow&amp;uu=/upload/window/REPORT/LGH-TW18-094.pdf","등급외"))))))</f>
        <v>3등급</v>
      </c>
      <c r="L755" s="5">
        <v>1.792</v>
      </c>
      <c r="M755" s="5" t="s">
        <v>103</v>
      </c>
      <c r="N755" s="5" t="s">
        <v>607</v>
      </c>
      <c r="O755" s="5" t="s">
        <v>19</v>
      </c>
      <c r="P755" s="5" t="s">
        <v>19</v>
      </c>
      <c r="Q755" s="5" t="s">
        <v>19</v>
      </c>
      <c r="R755" s="5" t="s">
        <v>19</v>
      </c>
      <c r="S755" s="5" t="s">
        <v>19</v>
      </c>
      <c r="T755" s="5" t="s">
        <v>19</v>
      </c>
      <c r="U755" s="5" t="s">
        <v>19</v>
      </c>
      <c r="V755" s="5" t="s">
        <v>19</v>
      </c>
      <c r="W755" s="5" t="s">
        <v>19</v>
      </c>
      <c r="X755" s="19">
        <f>L755</f>
        <v>1.792</v>
      </c>
    </row>
    <row r="756" spans="1:24">
      <c r="A756" t="s">
        <v>130</v>
      </c>
      <c r="B756" t="s">
        <v>19</v>
      </c>
      <c r="C756" t="s">
        <v>20</v>
      </c>
      <c r="D756" t="s">
        <v>126</v>
      </c>
      <c r="E756" t="s">
        <v>19</v>
      </c>
      <c r="F756" t="s">
        <v>19</v>
      </c>
      <c r="G756" t="s">
        <v>19</v>
      </c>
      <c r="H756" t="s">
        <v>19</v>
      </c>
      <c r="I756" t="s">
        <v>19</v>
      </c>
      <c r="J756" t="s">
        <v>74</v>
      </c>
      <c r="K756" s="21" t="str">
        <f>IF(X756&lt;=0.9,HYPERLINK("http://www.lxhausys.co.kr/popup/rn/download/downloadPopup.jsp?from=plwindow&amp;uu=/upload/window/REPORT/LGH-TW18-095.pdf","1등급"),IF(X756&lt;=1.2,HYPERLINK("http://www.lxhausys.co.kr/popup/rn/download/downloadPopup.jsp?from=plwindow&amp;uu=/upload/window/REPORT/LGH-TW18-095.pdf","2등급"),IF(X756&lt;=1.8,HYPERLINK("http://www.lxhausys.co.kr/popup/rn/download/downloadPopup.jsp?from=plwindow&amp;uu=/upload/window/REPORT/LGH-TW18-095.pdf","3등급"),IF(X756&lt;=2.3,HYPERLINK("http://www.lxhausys.co.kr/popup/rn/download/downloadPopup.jsp?from=plwindow&amp;uu=/upload/window/REPORT/LGH-TW18-095.pdf","4등급"),IF(X756&lt;=2.8,HYPERLINK("http://www.lxhausys.co.kr/popup/rn/download/downloadPopup.jsp?from=plwindow&amp;uu=/upload/window/REPORT/LGH-TW18-095.pdf","5등급"),HYPERLINK("http://www.lxhausys.co.kr/popup/rn/download/downloadPopup.jsp?from=plwindow&amp;uu=/upload/window/REPORT/LGH-TW18-095.pdf","등급외"))))))</f>
        <v>3등급</v>
      </c>
      <c r="L756" s="5">
        <v>1.613</v>
      </c>
      <c r="M756" s="5" t="s">
        <v>103</v>
      </c>
      <c r="N756" s="5" t="s">
        <v>607</v>
      </c>
      <c r="O756" s="5" t="s">
        <v>19</v>
      </c>
      <c r="P756" s="5" t="s">
        <v>19</v>
      </c>
      <c r="Q756" s="5" t="s">
        <v>19</v>
      </c>
      <c r="R756" s="5" t="s">
        <v>19</v>
      </c>
      <c r="S756" s="5" t="s">
        <v>19</v>
      </c>
      <c r="T756" s="5" t="s">
        <v>19</v>
      </c>
      <c r="U756" s="5" t="s">
        <v>19</v>
      </c>
      <c r="V756" s="5" t="s">
        <v>19</v>
      </c>
      <c r="W756" s="5" t="s">
        <v>19</v>
      </c>
      <c r="X756" s="19">
        <f>L756</f>
        <v>1.613</v>
      </c>
    </row>
    <row r="757" spans="1:24">
      <c r="A757" t="s">
        <v>125</v>
      </c>
      <c r="B757" t="s">
        <v>19</v>
      </c>
      <c r="C757" t="s">
        <v>20</v>
      </c>
      <c r="D757" t="s">
        <v>102</v>
      </c>
      <c r="E757" t="s">
        <v>19</v>
      </c>
      <c r="F757" t="s">
        <v>19</v>
      </c>
      <c r="G757" t="s">
        <v>19</v>
      </c>
      <c r="H757" t="s">
        <v>19</v>
      </c>
      <c r="I757" t="s">
        <v>19</v>
      </c>
      <c r="J757" t="s">
        <v>74</v>
      </c>
      <c r="K757" s="21" t="str">
        <f>IF(X757&lt;=0.9,HYPERLINK("http://www.lxhausys.co.kr/popup/rn/download/downloadPopup.jsp?from=plwindow&amp;uu=/upload/window/REPORT/LGH-TW18-097.pdf","1등급"),IF(X757&lt;=1.2,HYPERLINK("http://www.lxhausys.co.kr/popup/rn/download/downloadPopup.jsp?from=plwindow&amp;uu=/upload/window/REPORT/LGH-TW18-097.pdf","2등급"),IF(X757&lt;=1.8,HYPERLINK("http://www.lxhausys.co.kr/popup/rn/download/downloadPopup.jsp?from=plwindow&amp;uu=/upload/window/REPORT/LGH-TW18-097.pdf","3등급"),IF(X757&lt;=2.3,HYPERLINK("http://www.lxhausys.co.kr/popup/rn/download/downloadPopup.jsp?from=plwindow&amp;uu=/upload/window/REPORT/LGH-TW18-097.pdf","4등급"),IF(X757&lt;=2.8,HYPERLINK("http://www.lxhausys.co.kr/popup/rn/download/downloadPopup.jsp?from=plwindow&amp;uu=/upload/window/REPORT/LGH-TW18-097.pdf","5등급"),HYPERLINK("http://www.lxhausys.co.kr/popup/rn/download/downloadPopup.jsp?from=plwindow&amp;uu=/upload/window/REPORT/LGH-TW18-097.pdf","등급외"))))))</f>
        <v>4등급</v>
      </c>
      <c r="L757" s="5">
        <v>1.8120000000000001</v>
      </c>
      <c r="M757" s="5" t="s">
        <v>103</v>
      </c>
      <c r="N757" s="5" t="s">
        <v>607</v>
      </c>
      <c r="O757" s="5" t="s">
        <v>19</v>
      </c>
      <c r="P757" s="5" t="s">
        <v>19</v>
      </c>
      <c r="Q757" s="5" t="s">
        <v>19</v>
      </c>
      <c r="R757" s="5" t="s">
        <v>19</v>
      </c>
      <c r="S757" s="5" t="s">
        <v>19</v>
      </c>
      <c r="T757" s="5" t="s">
        <v>19</v>
      </c>
      <c r="U757" s="5" t="s">
        <v>19</v>
      </c>
      <c r="V757" s="5" t="s">
        <v>19</v>
      </c>
      <c r="W757" s="5" t="s">
        <v>19</v>
      </c>
      <c r="X757" s="19">
        <f>L757</f>
        <v>1.8120000000000001</v>
      </c>
    </row>
    <row r="758" spans="1:24">
      <c r="A758" t="s">
        <v>214</v>
      </c>
      <c r="B758" t="s">
        <v>19</v>
      </c>
      <c r="C758" t="s">
        <v>34</v>
      </c>
      <c r="D758" t="s">
        <v>215</v>
      </c>
      <c r="E758" t="s">
        <v>19</v>
      </c>
      <c r="F758" t="s">
        <v>89</v>
      </c>
      <c r="G758" t="s">
        <v>182</v>
      </c>
      <c r="H758" t="s">
        <v>89</v>
      </c>
      <c r="I758" t="s">
        <v>19</v>
      </c>
      <c r="J758" t="s">
        <v>184</v>
      </c>
      <c r="K758" s="21" t="s">
        <v>607</v>
      </c>
      <c r="L758" s="5" t="s">
        <v>19</v>
      </c>
      <c r="M758" s="5" t="s">
        <v>19</v>
      </c>
      <c r="N758" s="5" t="str">
        <f>HYPERLINK("http://www.lghausys.co.kr/popup/rn/download/downloadPopup.jsp?from=plwindow&amp;uu=/upload/window/REPORT/LGH-TA18-182.pdf","0.894")</f>
        <v>0.894</v>
      </c>
      <c r="O758" s="5" t="s">
        <v>19</v>
      </c>
      <c r="P758" s="5" t="s">
        <v>19</v>
      </c>
      <c r="Q758" s="5" t="s">
        <v>19</v>
      </c>
      <c r="R758" s="5" t="s">
        <v>19</v>
      </c>
      <c r="S758" s="5" t="s">
        <v>19</v>
      </c>
      <c r="T758" s="5" t="s">
        <v>19</v>
      </c>
      <c r="U758" s="5" t="s">
        <v>19</v>
      </c>
      <c r="V758" s="5" t="s">
        <v>19</v>
      </c>
      <c r="W758" s="5" t="s">
        <v>75</v>
      </c>
      <c r="X758"/>
    </row>
    <row r="759" spans="1:24">
      <c r="A759" t="s">
        <v>61</v>
      </c>
      <c r="B759" t="s">
        <v>19</v>
      </c>
      <c r="C759" t="s">
        <v>31</v>
      </c>
      <c r="D759" t="s">
        <v>28</v>
      </c>
      <c r="E759" t="s">
        <v>19</v>
      </c>
      <c r="F759" t="s">
        <v>19</v>
      </c>
      <c r="G759" t="s">
        <v>19</v>
      </c>
      <c r="H759" t="s">
        <v>19</v>
      </c>
      <c r="I759" t="s">
        <v>19</v>
      </c>
      <c r="J759" t="s">
        <v>74</v>
      </c>
      <c r="K759" s="21" t="s">
        <v>607</v>
      </c>
      <c r="L759" s="5" t="s">
        <v>19</v>
      </c>
      <c r="M759" s="5" t="s">
        <v>19</v>
      </c>
      <c r="N759" s="5" t="s">
        <v>19</v>
      </c>
      <c r="O759" s="5" t="str">
        <f>HYPERLINK("http://www.lghausys.co.kr/popup/rn/download/downloadPopup.jsp?from=plwindow&amp;uu=/upload/window/REPORT/LGH-WA18-170.pdf","2등급")</f>
        <v>2등급</v>
      </c>
      <c r="P759" s="5" t="s">
        <v>19</v>
      </c>
      <c r="Q759" s="5" t="s">
        <v>19</v>
      </c>
      <c r="R759" s="5" t="s">
        <v>19</v>
      </c>
      <c r="S759" s="5" t="s">
        <v>19</v>
      </c>
      <c r="T759" s="5" t="s">
        <v>19</v>
      </c>
      <c r="U759" s="5" t="s">
        <v>19</v>
      </c>
      <c r="V759" s="5" t="s">
        <v>19</v>
      </c>
      <c r="W759" s="5" t="s">
        <v>152</v>
      </c>
      <c r="X759"/>
    </row>
    <row r="760" spans="1:24">
      <c r="A760" t="s">
        <v>73</v>
      </c>
      <c r="B760" t="s">
        <v>19</v>
      </c>
      <c r="C760" t="s">
        <v>31</v>
      </c>
      <c r="D760" t="s">
        <v>28</v>
      </c>
      <c r="E760" t="s">
        <v>19</v>
      </c>
      <c r="F760" t="s">
        <v>19</v>
      </c>
      <c r="G760" t="s">
        <v>19</v>
      </c>
      <c r="H760" t="s">
        <v>28</v>
      </c>
      <c r="I760" t="s">
        <v>19</v>
      </c>
      <c r="J760" t="s">
        <v>74</v>
      </c>
      <c r="K760" s="21" t="s">
        <v>607</v>
      </c>
      <c r="L760" s="5" t="s">
        <v>19</v>
      </c>
      <c r="M760" s="5" t="s">
        <v>19</v>
      </c>
      <c r="N760" s="5" t="s">
        <v>19</v>
      </c>
      <c r="O760" s="5" t="str">
        <f>HYPERLINK("http://www.lghausys.co.kr/popup/rn/download/downloadPopup.jsp?from=plwindow&amp;uu=/upload/window/REPORT/LGH-WA18-171.pdf","1등급")</f>
        <v>1등급</v>
      </c>
      <c r="P760" s="5" t="s">
        <v>19</v>
      </c>
      <c r="Q760" s="5" t="s">
        <v>19</v>
      </c>
      <c r="R760" s="5" t="s">
        <v>19</v>
      </c>
      <c r="S760" s="5" t="s">
        <v>19</v>
      </c>
      <c r="T760" s="5" t="s">
        <v>19</v>
      </c>
      <c r="U760" s="5" t="s">
        <v>19</v>
      </c>
      <c r="V760" s="5" t="s">
        <v>19</v>
      </c>
      <c r="W760" s="5" t="s">
        <v>152</v>
      </c>
      <c r="X760"/>
    </row>
    <row r="761" spans="1:24">
      <c r="A761" t="s">
        <v>61</v>
      </c>
      <c r="B761" t="s">
        <v>19</v>
      </c>
      <c r="C761" t="s">
        <v>34</v>
      </c>
      <c r="D761" t="s">
        <v>28</v>
      </c>
      <c r="E761" t="s">
        <v>19</v>
      </c>
      <c r="F761" t="s">
        <v>19</v>
      </c>
      <c r="G761" t="s">
        <v>19</v>
      </c>
      <c r="H761" t="s">
        <v>19</v>
      </c>
      <c r="I761" t="s">
        <v>19</v>
      </c>
      <c r="J761" t="s">
        <v>74</v>
      </c>
      <c r="K761" s="21" t="s">
        <v>607</v>
      </c>
      <c r="L761" s="5" t="s">
        <v>19</v>
      </c>
      <c r="M761" s="5" t="s">
        <v>19</v>
      </c>
      <c r="N761" s="5" t="str">
        <f>HYPERLINK("http://www.lghausys.co.kr/popup/rn/download/downloadPopup.jsp?from=plwindow&amp;uu=/upload/window/REPORT/LGH-TA18-185.pdf","2.3809")</f>
        <v>2.3809</v>
      </c>
      <c r="O761" s="5" t="s">
        <v>19</v>
      </c>
      <c r="P761" s="5" t="s">
        <v>19</v>
      </c>
      <c r="Q761" s="5" t="s">
        <v>19</v>
      </c>
      <c r="R761" s="5" t="s">
        <v>19</v>
      </c>
      <c r="S761" s="5" t="s">
        <v>19</v>
      </c>
      <c r="T761" s="5" t="s">
        <v>19</v>
      </c>
      <c r="U761" s="5" t="s">
        <v>19</v>
      </c>
      <c r="V761" s="5" t="s">
        <v>19</v>
      </c>
      <c r="W761" s="5" t="s">
        <v>75</v>
      </c>
      <c r="X761"/>
    </row>
    <row r="762" spans="1:24">
      <c r="A762" t="s">
        <v>42</v>
      </c>
      <c r="B762" t="s">
        <v>43</v>
      </c>
      <c r="C762" t="s">
        <v>34</v>
      </c>
      <c r="D762" t="s">
        <v>217</v>
      </c>
      <c r="E762" t="s">
        <v>19</v>
      </c>
      <c r="F762" t="s">
        <v>19</v>
      </c>
      <c r="G762" t="s">
        <v>19</v>
      </c>
      <c r="H762" t="s">
        <v>19</v>
      </c>
      <c r="I762" t="s">
        <v>19</v>
      </c>
      <c r="J762" t="s">
        <v>19</v>
      </c>
      <c r="K762" s="21" t="s">
        <v>607</v>
      </c>
      <c r="L762" s="5" t="s">
        <v>19</v>
      </c>
      <c r="M762" s="5" t="s">
        <v>19</v>
      </c>
      <c r="N762" s="5" t="str">
        <f>HYPERLINK("http://www.lghausys.co.kr/popup/rn/download/downloadPopup.jsp?from=plwindow&amp;uu=/upload/window/REPORT/LGH-TA18-188.pdf","1.456")</f>
        <v>1.456</v>
      </c>
      <c r="O762" s="5" t="s">
        <v>19</v>
      </c>
      <c r="P762" s="5" t="s">
        <v>19</v>
      </c>
      <c r="Q762" s="5" t="s">
        <v>19</v>
      </c>
      <c r="R762" s="5" t="s">
        <v>19</v>
      </c>
      <c r="S762" s="5" t="s">
        <v>19</v>
      </c>
      <c r="T762" s="5" t="s">
        <v>19</v>
      </c>
      <c r="U762" s="5" t="s">
        <v>19</v>
      </c>
      <c r="V762" s="5" t="s">
        <v>19</v>
      </c>
      <c r="W762" s="5" t="s">
        <v>75</v>
      </c>
      <c r="X762"/>
    </row>
    <row r="763" spans="1:24">
      <c r="A763" t="s">
        <v>19</v>
      </c>
      <c r="B763" t="s">
        <v>83</v>
      </c>
      <c r="C763" t="s">
        <v>31</v>
      </c>
      <c r="D763" t="s">
        <v>21</v>
      </c>
      <c r="E763" t="s">
        <v>19</v>
      </c>
      <c r="F763" t="s">
        <v>19</v>
      </c>
      <c r="G763" t="s">
        <v>19</v>
      </c>
      <c r="H763" t="s">
        <v>19</v>
      </c>
      <c r="I763" t="s">
        <v>19</v>
      </c>
      <c r="J763" t="s">
        <v>97</v>
      </c>
      <c r="K763" s="21" t="s">
        <v>607</v>
      </c>
      <c r="L763" s="5" t="s">
        <v>19</v>
      </c>
      <c r="M763" s="5" t="s">
        <v>19</v>
      </c>
      <c r="N763" s="5" t="s">
        <v>19</v>
      </c>
      <c r="O763" s="5" t="str">
        <f>HYPERLINK("http://www.lghausys.co.kr/popup/rn/download/downloadPopup.jsp?from=plwindow&amp;uu=/upload/window/REPORT/LGH-WA18-174.pdf","2등급")</f>
        <v>2등급</v>
      </c>
      <c r="P763" s="5" t="s">
        <v>19</v>
      </c>
      <c r="Q763" s="5" t="s">
        <v>19</v>
      </c>
      <c r="R763" s="5" t="s">
        <v>19</v>
      </c>
      <c r="S763" s="5" t="s">
        <v>19</v>
      </c>
      <c r="T763" s="5" t="s">
        <v>19</v>
      </c>
      <c r="U763" s="5" t="s">
        <v>19</v>
      </c>
      <c r="V763" s="5" t="s">
        <v>19</v>
      </c>
      <c r="W763" s="5" t="s">
        <v>152</v>
      </c>
      <c r="X763"/>
    </row>
    <row r="764" spans="1:24">
      <c r="A764" t="s">
        <v>30</v>
      </c>
      <c r="B764" t="s">
        <v>19</v>
      </c>
      <c r="C764" t="s">
        <v>31</v>
      </c>
      <c r="D764" t="s">
        <v>28</v>
      </c>
      <c r="E764" t="s">
        <v>19</v>
      </c>
      <c r="F764" t="s">
        <v>19</v>
      </c>
      <c r="G764" t="s">
        <v>19</v>
      </c>
      <c r="H764" t="s">
        <v>28</v>
      </c>
      <c r="I764" t="s">
        <v>19</v>
      </c>
      <c r="J764" t="s">
        <v>145</v>
      </c>
      <c r="K764" s="21" t="s">
        <v>607</v>
      </c>
      <c r="L764" s="5" t="s">
        <v>19</v>
      </c>
      <c r="M764" s="5" t="s">
        <v>19</v>
      </c>
      <c r="N764" s="5" t="s">
        <v>19</v>
      </c>
      <c r="O764" s="5" t="str">
        <f>HYPERLINK("http://www.lghausys.co.kr/popup/rn/download/downloadPopup.jsp?from=plwindow&amp;uu=/upload/window/REPORT/LGH-WA18-176.pdf","1등급")</f>
        <v>1등급</v>
      </c>
      <c r="P764" s="5" t="str">
        <f>HYPERLINK("http://www.lghausys.co.kr/popup/rn/download/downloadPopup.jsp?from=plwindow&amp;uu=/upload/window/REPORT/LGH-WA18-176.pdf","50등급")</f>
        <v>50등급</v>
      </c>
      <c r="Q764" s="5" t="str">
        <f>HYPERLINK("http://www.lghausys.co.kr/popup/rn/download/downloadPopup.jsp?from=plwindow&amp;uu=/upload/window/REPORT/LGH-WA18-176.pdf","400등급")</f>
        <v>400등급</v>
      </c>
      <c r="R764" s="5" t="s">
        <v>19</v>
      </c>
      <c r="S764" s="5" t="s">
        <v>19</v>
      </c>
      <c r="T764" s="5" t="s">
        <v>19</v>
      </c>
      <c r="U764" s="5" t="s">
        <v>19</v>
      </c>
      <c r="V764" s="5" t="s">
        <v>19</v>
      </c>
      <c r="W764" s="5" t="s">
        <v>152</v>
      </c>
      <c r="X764"/>
    </row>
    <row r="765" spans="1:24">
      <c r="A765" t="s">
        <v>52</v>
      </c>
      <c r="B765" t="s">
        <v>19</v>
      </c>
      <c r="C765" t="s">
        <v>31</v>
      </c>
      <c r="D765" t="s">
        <v>28</v>
      </c>
      <c r="E765" t="s">
        <v>19</v>
      </c>
      <c r="F765" t="s">
        <v>19</v>
      </c>
      <c r="G765" t="s">
        <v>19</v>
      </c>
      <c r="H765" t="s">
        <v>25</v>
      </c>
      <c r="I765" t="s">
        <v>19</v>
      </c>
      <c r="J765" t="s">
        <v>145</v>
      </c>
      <c r="K765" s="21" t="s">
        <v>607</v>
      </c>
      <c r="L765" s="5" t="s">
        <v>19</v>
      </c>
      <c r="M765" s="5" t="s">
        <v>19</v>
      </c>
      <c r="N765" s="5" t="s">
        <v>19</v>
      </c>
      <c r="O765" s="5" t="str">
        <f>HYPERLINK("http://www.lghausys.co.kr/popup/rn/download/downloadPopup.jsp?from=plwindow&amp;uu=/upload/window/REPORT/LGH-WA18-177.pdf","1등급")</f>
        <v>1등급</v>
      </c>
      <c r="P765" s="5" t="str">
        <f>HYPERLINK("http://www.lghausys.co.kr/popup/rn/download/downloadPopup.jsp?from=plwindow&amp;uu=/upload/window/REPORT/LGH-WA18-177.pdf","50등급")</f>
        <v>50등급</v>
      </c>
      <c r="Q765" s="5" t="str">
        <f>HYPERLINK("http://www.lghausys.co.kr/popup/rn/download/downloadPopup.jsp?from=plwindow&amp;uu=/upload/window/REPORT/LGH-WA18-177.pdf","400등급")</f>
        <v>400등급</v>
      </c>
      <c r="R765" s="5" t="s">
        <v>19</v>
      </c>
      <c r="S765" s="5" t="s">
        <v>19</v>
      </c>
      <c r="T765" s="5" t="s">
        <v>19</v>
      </c>
      <c r="U765" s="5" t="s">
        <v>19</v>
      </c>
      <c r="V765" s="5" t="s">
        <v>19</v>
      </c>
      <c r="W765" s="5" t="s">
        <v>152</v>
      </c>
      <c r="X765"/>
    </row>
    <row r="766" spans="1:24">
      <c r="A766" t="s">
        <v>19</v>
      </c>
      <c r="B766" t="s">
        <v>83</v>
      </c>
      <c r="C766" t="s">
        <v>31</v>
      </c>
      <c r="D766" t="s">
        <v>126</v>
      </c>
      <c r="E766" t="s">
        <v>19</v>
      </c>
      <c r="F766" t="s">
        <v>19</v>
      </c>
      <c r="G766" t="s">
        <v>19</v>
      </c>
      <c r="H766" t="s">
        <v>19</v>
      </c>
      <c r="I766" t="s">
        <v>19</v>
      </c>
      <c r="J766" t="s">
        <v>74</v>
      </c>
      <c r="K766" s="21" t="s">
        <v>607</v>
      </c>
      <c r="L766" s="5" t="s">
        <v>19</v>
      </c>
      <c r="M766" s="5" t="s">
        <v>19</v>
      </c>
      <c r="N766" s="5" t="s">
        <v>19</v>
      </c>
      <c r="O766" s="5" t="str">
        <f>HYPERLINK("http://www.lghausys.co.kr/popup/rn/download/downloadPopup.jsp?from=plwindow&amp;uu=/upload/window/REPORT/LGH-WA18-187.pdf","2등급")</f>
        <v>2등급</v>
      </c>
      <c r="P766" s="5" t="s">
        <v>19</v>
      </c>
      <c r="Q766" s="5" t="s">
        <v>19</v>
      </c>
      <c r="R766" s="5" t="s">
        <v>19</v>
      </c>
      <c r="S766" s="5" t="s">
        <v>19</v>
      </c>
      <c r="T766" s="5" t="s">
        <v>19</v>
      </c>
      <c r="U766" s="5" t="s">
        <v>19</v>
      </c>
      <c r="V766" s="5" t="s">
        <v>19</v>
      </c>
      <c r="W766" s="5" t="s">
        <v>152</v>
      </c>
      <c r="X766"/>
    </row>
    <row r="767" spans="1:24">
      <c r="A767" t="s">
        <v>174</v>
      </c>
      <c r="B767" t="s">
        <v>19</v>
      </c>
      <c r="C767" t="s">
        <v>13</v>
      </c>
      <c r="D767" t="s">
        <v>218</v>
      </c>
      <c r="E767" t="s">
        <v>19</v>
      </c>
      <c r="F767" t="s">
        <v>19</v>
      </c>
      <c r="G767" t="s">
        <v>19</v>
      </c>
      <c r="H767" t="s">
        <v>21</v>
      </c>
      <c r="I767" t="s">
        <v>19</v>
      </c>
      <c r="J767" t="s">
        <v>97</v>
      </c>
      <c r="K767" s="21" t="s">
        <v>607</v>
      </c>
      <c r="L767" s="5" t="s">
        <v>19</v>
      </c>
      <c r="M767" s="5" t="s">
        <v>19</v>
      </c>
      <c r="N767" s="5" t="s">
        <v>19</v>
      </c>
      <c r="O767" s="5" t="s">
        <v>19</v>
      </c>
      <c r="P767" s="5" t="s">
        <v>19</v>
      </c>
      <c r="Q767" s="5" t="s">
        <v>19</v>
      </c>
      <c r="R767" s="5" t="s">
        <v>19</v>
      </c>
      <c r="S767" s="5" t="str">
        <f>HYPERLINK("http://www.lghausys.co.kr/popup/rn/download/downloadPopup.jsp?from=plwindow&amp;uu=/upload/window/REPORT/LGH-DA18-029.pdf","결로발생없음")</f>
        <v>결로발생없음</v>
      </c>
      <c r="T767" s="5" t="s">
        <v>19</v>
      </c>
      <c r="U767" s="5" t="s">
        <v>19</v>
      </c>
      <c r="V767" s="5" t="s">
        <v>19</v>
      </c>
      <c r="W767" s="5" t="s">
        <v>75</v>
      </c>
      <c r="X767"/>
    </row>
    <row r="768" spans="1:24">
      <c r="A768" t="s">
        <v>203</v>
      </c>
      <c r="B768" t="s">
        <v>19</v>
      </c>
      <c r="C768" t="s">
        <v>20</v>
      </c>
      <c r="D768" t="s">
        <v>204</v>
      </c>
      <c r="E768" t="s">
        <v>19</v>
      </c>
      <c r="F768" t="s">
        <v>68</v>
      </c>
      <c r="G768" t="s">
        <v>182</v>
      </c>
      <c r="H768" t="s">
        <v>102</v>
      </c>
      <c r="I768" t="s">
        <v>19</v>
      </c>
      <c r="J768" t="s">
        <v>97</v>
      </c>
      <c r="K768" s="21" t="str">
        <f>IF(X768&lt;=0.9,HYPERLINK("http://www.lxhausys.co.kr/popup/rn/download/downloadPopup.jsp?from=plwindow&amp;uu=/upload/window/REPORT/LGH-TW18-100.pdf","1등급"),IF(X768&lt;=1.2,HYPERLINK("http://www.lxhausys.co.kr/popup/rn/download/downloadPopup.jsp?from=plwindow&amp;uu=/upload/window/REPORT/LGH-TW18-100.pdf","2등급"),IF(X768&lt;=1.8,HYPERLINK("http://www.lxhausys.co.kr/popup/rn/download/downloadPopup.jsp?from=plwindow&amp;uu=/upload/window/REPORT/LGH-TW18-100.pdf","3등급"),IF(X768&lt;=2.3,HYPERLINK("http://www.lxhausys.co.kr/popup/rn/download/downloadPopup.jsp?from=plwindow&amp;uu=/upload/window/REPORT/LGH-TW18-100.pdf","4등급"),IF(X768&lt;=2.8,HYPERLINK("http://www.lxhausys.co.kr/popup/rn/download/downloadPopup.jsp?from=plwindow&amp;uu=/upload/window/REPORT/LGH-TW18-100.pdf","5등급"),HYPERLINK("http://www.lxhausys.co.kr/popup/rn/download/downloadPopup.jsp?from=plwindow&amp;uu=/upload/window/REPORT/LGH-TW18-100.pdf","등급외"))))))</f>
        <v>1등급</v>
      </c>
      <c r="L768" s="5">
        <v>0.83299999999999996</v>
      </c>
      <c r="M768" s="5" t="s">
        <v>22</v>
      </c>
      <c r="N768" s="5" t="s">
        <v>607</v>
      </c>
      <c r="O768" s="5" t="s">
        <v>19</v>
      </c>
      <c r="P768" s="5" t="s">
        <v>19</v>
      </c>
      <c r="Q768" s="5" t="s">
        <v>19</v>
      </c>
      <c r="R768" s="5" t="s">
        <v>19</v>
      </c>
      <c r="S768" s="5" t="s">
        <v>19</v>
      </c>
      <c r="T768" s="5" t="s">
        <v>19</v>
      </c>
      <c r="U768" s="5" t="s">
        <v>19</v>
      </c>
      <c r="V768" s="5" t="s">
        <v>19</v>
      </c>
      <c r="W768" s="5" t="s">
        <v>19</v>
      </c>
      <c r="X768" s="19">
        <f>L768</f>
        <v>0.83299999999999996</v>
      </c>
    </row>
    <row r="769" spans="1:24">
      <c r="A769" t="s">
        <v>95</v>
      </c>
      <c r="B769" t="s">
        <v>19</v>
      </c>
      <c r="C769" t="s">
        <v>31</v>
      </c>
      <c r="D769" t="s">
        <v>41</v>
      </c>
      <c r="E769" t="s">
        <v>19</v>
      </c>
      <c r="F769" t="s">
        <v>19</v>
      </c>
      <c r="G769" t="s">
        <v>19</v>
      </c>
      <c r="H769" t="s">
        <v>19</v>
      </c>
      <c r="I769" t="s">
        <v>19</v>
      </c>
      <c r="J769" t="s">
        <v>74</v>
      </c>
      <c r="K769" s="21" t="s">
        <v>607</v>
      </c>
      <c r="L769" s="5" t="s">
        <v>19</v>
      </c>
      <c r="M769" s="5" t="s">
        <v>19</v>
      </c>
      <c r="N769" s="5" t="s">
        <v>19</v>
      </c>
      <c r="O769" s="5" t="str">
        <f>HYPERLINK("http://www.lghausys.co.kr/popup/rn/download/downloadPopup.jsp?from=plwindow&amp;uu=/upload/window/REPORT/LGH-WA18-191.pdf","1등급")</f>
        <v>1등급</v>
      </c>
      <c r="P769" s="5" t="str">
        <f>HYPERLINK("http://www.lghausys.co.kr/popup/rn/download/downloadPopup.jsp?from=plwindow&amp;uu=/upload/window/REPORT/LGH-WA18-191.pdf","35등급")</f>
        <v>35등급</v>
      </c>
      <c r="Q769" s="5" t="str">
        <f>HYPERLINK("http://www.lghausys.co.kr/popup/rn/download/downloadPopup.jsp?from=plwindow&amp;uu=/upload/window/REPORT/LGH-WA18-191.pdf","240등급")</f>
        <v>240등급</v>
      </c>
      <c r="R769" s="5" t="s">
        <v>19</v>
      </c>
      <c r="S769" s="5" t="s">
        <v>19</v>
      </c>
      <c r="T769" s="5" t="s">
        <v>19</v>
      </c>
      <c r="U769" s="5" t="s">
        <v>19</v>
      </c>
      <c r="V769" s="5" t="s">
        <v>19</v>
      </c>
      <c r="W769" s="5" t="s">
        <v>152</v>
      </c>
      <c r="X769"/>
    </row>
    <row r="770" spans="1:24">
      <c r="A770" t="s">
        <v>61</v>
      </c>
      <c r="B770" t="s">
        <v>19</v>
      </c>
      <c r="C770" t="s">
        <v>31</v>
      </c>
      <c r="D770" t="s">
        <v>25</v>
      </c>
      <c r="E770" t="s">
        <v>19</v>
      </c>
      <c r="F770" t="s">
        <v>19</v>
      </c>
      <c r="G770" t="s">
        <v>19</v>
      </c>
      <c r="H770" t="s">
        <v>19</v>
      </c>
      <c r="I770" t="s">
        <v>19</v>
      </c>
      <c r="J770" t="s">
        <v>74</v>
      </c>
      <c r="K770" s="21" t="s">
        <v>607</v>
      </c>
      <c r="L770" s="5" t="s">
        <v>19</v>
      </c>
      <c r="M770" s="5" t="s">
        <v>19</v>
      </c>
      <c r="N770" s="5" t="s">
        <v>19</v>
      </c>
      <c r="O770" s="5" t="str">
        <f>HYPERLINK("http://www.lghausys.co.kr/popup/rn/download/downloadPopup.jsp?from=plwindow&amp;uu=/upload/window/REPORT/LGH-WA18-192.pdf","2등급")</f>
        <v>2등급</v>
      </c>
      <c r="P770" s="5" t="str">
        <f>HYPERLINK("http://www.lghausys.co.kr/popup/rn/download/downloadPopup.jsp?from=plwindow&amp;uu=/upload/window/REPORT/LGH-WA18-192.pdf","15등급")</f>
        <v>15등급</v>
      </c>
      <c r="Q770" s="5" t="str">
        <f>HYPERLINK("http://www.lghausys.co.kr/popup/rn/download/downloadPopup.jsp?from=plwindow&amp;uu=/upload/window/REPORT/LGH-WA18-192.pdf","240등급")</f>
        <v>240등급</v>
      </c>
      <c r="R770" s="5" t="s">
        <v>19</v>
      </c>
      <c r="S770" s="5" t="s">
        <v>19</v>
      </c>
      <c r="T770" s="5" t="s">
        <v>19</v>
      </c>
      <c r="U770" s="5" t="s">
        <v>19</v>
      </c>
      <c r="V770" s="5" t="s">
        <v>19</v>
      </c>
      <c r="W770" s="5" t="s">
        <v>152</v>
      </c>
      <c r="X770"/>
    </row>
    <row r="771" spans="1:24">
      <c r="A771" t="s">
        <v>73</v>
      </c>
      <c r="B771" t="s">
        <v>19</v>
      </c>
      <c r="C771" t="s">
        <v>31</v>
      </c>
      <c r="D771" t="s">
        <v>28</v>
      </c>
      <c r="E771" t="s">
        <v>19</v>
      </c>
      <c r="F771" t="s">
        <v>19</v>
      </c>
      <c r="G771" t="s">
        <v>19</v>
      </c>
      <c r="H771" t="s">
        <v>28</v>
      </c>
      <c r="I771" t="s">
        <v>19</v>
      </c>
      <c r="J771" t="s">
        <v>74</v>
      </c>
      <c r="K771" s="21" t="s">
        <v>607</v>
      </c>
      <c r="L771" s="5" t="s">
        <v>19</v>
      </c>
      <c r="M771" s="5" t="s">
        <v>19</v>
      </c>
      <c r="N771" s="5" t="s">
        <v>19</v>
      </c>
      <c r="O771" s="5" t="str">
        <f>HYPERLINK("http://www.lghausys.co.kr/popup/rn/download/downloadPopup.jsp?from=plwindow&amp;uu=/upload/window/REPORT/LGH-WA18-193.pdf","1등급")</f>
        <v>1등급</v>
      </c>
      <c r="P771" s="5" t="str">
        <f>HYPERLINK("http://www.lghausys.co.kr/popup/rn/download/downloadPopup.jsp?from=plwindow&amp;uu=/upload/window/REPORT/LGH-WA18-193.pdf","50등급")</f>
        <v>50등급</v>
      </c>
      <c r="Q771" s="5" t="str">
        <f>HYPERLINK("http://www.lghausys.co.kr/popup/rn/download/downloadPopup.jsp?from=plwindow&amp;uu=/upload/window/REPORT/LGH-WA18-193.pdf","360등급")</f>
        <v>360등급</v>
      </c>
      <c r="R771" s="5" t="s">
        <v>19</v>
      </c>
      <c r="S771" s="5" t="s">
        <v>19</v>
      </c>
      <c r="T771" s="5" t="s">
        <v>19</v>
      </c>
      <c r="U771" s="5" t="s">
        <v>19</v>
      </c>
      <c r="V771" s="5" t="s">
        <v>19</v>
      </c>
      <c r="W771" s="5" t="s">
        <v>152</v>
      </c>
      <c r="X771"/>
    </row>
    <row r="772" spans="1:24">
      <c r="A772" t="s">
        <v>39</v>
      </c>
      <c r="B772" t="s">
        <v>19</v>
      </c>
      <c r="C772" t="s">
        <v>31</v>
      </c>
      <c r="D772" t="s">
        <v>219</v>
      </c>
      <c r="E772" t="s">
        <v>19</v>
      </c>
      <c r="F772" t="s">
        <v>19</v>
      </c>
      <c r="G772" t="s">
        <v>19</v>
      </c>
      <c r="H772" t="s">
        <v>19</v>
      </c>
      <c r="I772" t="s">
        <v>19</v>
      </c>
      <c r="J772" t="s">
        <v>220</v>
      </c>
      <c r="K772" s="21" t="s">
        <v>607</v>
      </c>
      <c r="L772" s="5" t="s">
        <v>19</v>
      </c>
      <c r="M772" s="5" t="s">
        <v>19</v>
      </c>
      <c r="N772" s="5" t="s">
        <v>19</v>
      </c>
      <c r="O772" s="5" t="str">
        <f>HYPERLINK("http://www.lghausys.co.kr/popup/rn/download/downloadPopup.jsp?from=plwindow&amp;uu=/upload/window/REPORT/LGH-WA18-196.pdf","1등급")</f>
        <v>1등급</v>
      </c>
      <c r="P772" s="5" t="s">
        <v>19</v>
      </c>
      <c r="Q772" s="5" t="s">
        <v>19</v>
      </c>
      <c r="R772" s="5" t="s">
        <v>19</v>
      </c>
      <c r="S772" s="5" t="s">
        <v>19</v>
      </c>
      <c r="T772" s="5" t="s">
        <v>19</v>
      </c>
      <c r="U772" s="5" t="s">
        <v>19</v>
      </c>
      <c r="V772" s="5" t="s">
        <v>19</v>
      </c>
      <c r="W772" s="5" t="s">
        <v>152</v>
      </c>
      <c r="X772"/>
    </row>
    <row r="773" spans="1:24">
      <c r="A773" t="s">
        <v>144</v>
      </c>
      <c r="B773" t="s">
        <v>19</v>
      </c>
      <c r="C773" t="s">
        <v>20</v>
      </c>
      <c r="D773" t="s">
        <v>25</v>
      </c>
      <c r="E773" t="s">
        <v>19</v>
      </c>
      <c r="F773" t="s">
        <v>19</v>
      </c>
      <c r="G773" t="s">
        <v>19</v>
      </c>
      <c r="H773" t="s">
        <v>53</v>
      </c>
      <c r="I773" t="s">
        <v>19</v>
      </c>
      <c r="J773" t="s">
        <v>74</v>
      </c>
      <c r="K773" s="21" t="str">
        <f>IF(X773&lt;=0.9,HYPERLINK("http://www.lxhausys.co.kr/popup/rn/download/downloadPopup.jsp?from=plwindow&amp;uu=/upload/window/REPORT/LGH-TW18-104.pdf","1등급"),IF(X773&lt;=1.2,HYPERLINK("http://www.lxhausys.co.kr/popup/rn/download/downloadPopup.jsp?from=plwindow&amp;uu=/upload/window/REPORT/LGH-TW18-104.pdf","2등급"),IF(X773&lt;=1.8,HYPERLINK("http://www.lxhausys.co.kr/popup/rn/download/downloadPopup.jsp?from=plwindow&amp;uu=/upload/window/REPORT/LGH-TW18-104.pdf","3등급"),IF(X773&lt;=2.3,HYPERLINK("http://www.lxhausys.co.kr/popup/rn/download/downloadPopup.jsp?from=plwindow&amp;uu=/upload/window/REPORT/LGH-TW18-104.pdf","4등급"),IF(X773&lt;=2.8,HYPERLINK("http://www.lxhausys.co.kr/popup/rn/download/downloadPopup.jsp?from=plwindow&amp;uu=/upload/window/REPORT/LGH-TW18-104.pdf","5등급"),HYPERLINK("http://www.lxhausys.co.kr/popup/rn/download/downloadPopup.jsp?from=plwindow&amp;uu=/upload/window/REPORT/LGH-TW18-104.pdf","등급외"))))))</f>
        <v>2등급</v>
      </c>
      <c r="L773" s="5">
        <v>0.94299999999999995</v>
      </c>
      <c r="M773" s="5" t="s">
        <v>22</v>
      </c>
      <c r="N773" s="5" t="s">
        <v>607</v>
      </c>
      <c r="O773" s="5" t="s">
        <v>19</v>
      </c>
      <c r="P773" s="5" t="s">
        <v>19</v>
      </c>
      <c r="Q773" s="5" t="s">
        <v>19</v>
      </c>
      <c r="R773" s="5" t="s">
        <v>19</v>
      </c>
      <c r="S773" s="5" t="s">
        <v>19</v>
      </c>
      <c r="T773" s="5" t="s">
        <v>19</v>
      </c>
      <c r="U773" s="5" t="s">
        <v>19</v>
      </c>
      <c r="V773" s="5" t="s">
        <v>19</v>
      </c>
      <c r="W773" s="5" t="s">
        <v>19</v>
      </c>
      <c r="X773" s="19">
        <f>L773</f>
        <v>0.94299999999999995</v>
      </c>
    </row>
    <row r="774" spans="1:24">
      <c r="A774" t="s">
        <v>73</v>
      </c>
      <c r="B774" t="s">
        <v>19</v>
      </c>
      <c r="C774" t="s">
        <v>34</v>
      </c>
      <c r="D774" t="s">
        <v>28</v>
      </c>
      <c r="E774" t="s">
        <v>19</v>
      </c>
      <c r="F774" t="s">
        <v>19</v>
      </c>
      <c r="G774" t="s">
        <v>19</v>
      </c>
      <c r="H774" t="s">
        <v>28</v>
      </c>
      <c r="I774" t="s">
        <v>19</v>
      </c>
      <c r="J774" t="s">
        <v>99</v>
      </c>
      <c r="K774" s="21" t="s">
        <v>607</v>
      </c>
      <c r="L774" s="5" t="s">
        <v>19</v>
      </c>
      <c r="M774" s="5" t="s">
        <v>19</v>
      </c>
      <c r="N774" s="5" t="str">
        <f>HYPERLINK("http://www.lghausys.co.kr/popup/rn/download/downloadPopup.jsp?from=plwindow&amp;uu=/upload/window/REPORT/LGH-TA18-214.pdf","0.949")</f>
        <v>0.949</v>
      </c>
      <c r="O774" s="5" t="s">
        <v>19</v>
      </c>
      <c r="P774" s="5" t="s">
        <v>19</v>
      </c>
      <c r="Q774" s="5" t="s">
        <v>19</v>
      </c>
      <c r="R774" s="5" t="s">
        <v>19</v>
      </c>
      <c r="S774" s="5" t="s">
        <v>19</v>
      </c>
      <c r="T774" s="5" t="s">
        <v>19</v>
      </c>
      <c r="U774" s="5" t="s">
        <v>19</v>
      </c>
      <c r="V774" s="5" t="s">
        <v>19</v>
      </c>
      <c r="W774" s="5" t="s">
        <v>75</v>
      </c>
      <c r="X774"/>
    </row>
    <row r="775" spans="1:24">
      <c r="A775" t="s">
        <v>95</v>
      </c>
      <c r="B775" t="s">
        <v>19</v>
      </c>
      <c r="C775" t="s">
        <v>34</v>
      </c>
      <c r="D775" t="s">
        <v>25</v>
      </c>
      <c r="E775" t="s">
        <v>19</v>
      </c>
      <c r="F775" t="s">
        <v>19</v>
      </c>
      <c r="G775" t="s">
        <v>19</v>
      </c>
      <c r="H775" t="s">
        <v>19</v>
      </c>
      <c r="I775" t="s">
        <v>19</v>
      </c>
      <c r="J775" t="s">
        <v>74</v>
      </c>
      <c r="K775" s="21" t="s">
        <v>607</v>
      </c>
      <c r="L775" s="5" t="s">
        <v>19</v>
      </c>
      <c r="M775" s="5" t="s">
        <v>19</v>
      </c>
      <c r="N775" s="5" t="str">
        <f>HYPERLINK("http://www.lghausys.co.kr/popup/rn/download/downloadPopup.jsp?from=plwindow&amp;uu=/upload/window/REPORT/LGH-TA18-217.pdf","2.77")</f>
        <v>2.77</v>
      </c>
      <c r="O775" s="5" t="s">
        <v>19</v>
      </c>
      <c r="P775" s="5" t="s">
        <v>19</v>
      </c>
      <c r="Q775" s="5" t="s">
        <v>19</v>
      </c>
      <c r="R775" s="5" t="s">
        <v>19</v>
      </c>
      <c r="S775" s="5" t="s">
        <v>19</v>
      </c>
      <c r="T775" s="5" t="s">
        <v>19</v>
      </c>
      <c r="U775" s="5" t="s">
        <v>19</v>
      </c>
      <c r="V775" s="5" t="s">
        <v>19</v>
      </c>
      <c r="W775" s="5" t="s">
        <v>75</v>
      </c>
      <c r="X775"/>
    </row>
    <row r="776" spans="1:24">
      <c r="A776" t="s">
        <v>221</v>
      </c>
      <c r="B776" t="s">
        <v>19</v>
      </c>
      <c r="C776" t="s">
        <v>31</v>
      </c>
      <c r="D776" t="s">
        <v>64</v>
      </c>
      <c r="E776" t="s">
        <v>157</v>
      </c>
      <c r="F776" t="s">
        <v>19</v>
      </c>
      <c r="G776" t="s">
        <v>19</v>
      </c>
      <c r="H776" t="s">
        <v>19</v>
      </c>
      <c r="I776" t="s">
        <v>19</v>
      </c>
      <c r="J776" t="s">
        <v>74</v>
      </c>
      <c r="K776" s="21" t="s">
        <v>607</v>
      </c>
      <c r="L776" s="5" t="s">
        <v>19</v>
      </c>
      <c r="M776" s="5" t="s">
        <v>19</v>
      </c>
      <c r="N776" s="5" t="s">
        <v>19</v>
      </c>
      <c r="O776" s="5" t="s">
        <v>19</v>
      </c>
      <c r="P776" s="5" t="str">
        <f>HYPERLINK("http://www.lghausys.co.kr/popup/rn/download/downloadPopup.jsp?from=plwindow&amp;uu=/upload/window/REPORT/LGH-WA18-224.pdf","25등급")</f>
        <v>25등급</v>
      </c>
      <c r="Q776" s="5" t="str">
        <f>HYPERLINK("http://www.lghausys.co.kr/popup/rn/download/downloadPopup.jsp?from=plwindow&amp;uu=/upload/window/REPORT/LGH-WA18-224.pdf","300등급")</f>
        <v>300등급</v>
      </c>
      <c r="R776" s="5" t="s">
        <v>19</v>
      </c>
      <c r="S776" s="5" t="s">
        <v>19</v>
      </c>
      <c r="T776" s="5" t="s">
        <v>19</v>
      </c>
      <c r="U776" s="5" t="s">
        <v>19</v>
      </c>
      <c r="V776" s="5" t="s">
        <v>19</v>
      </c>
      <c r="W776" s="5" t="s">
        <v>152</v>
      </c>
      <c r="X776"/>
    </row>
    <row r="777" spans="1:24">
      <c r="A777" t="s">
        <v>222</v>
      </c>
      <c r="B777" t="s">
        <v>19</v>
      </c>
      <c r="C777" t="s">
        <v>31</v>
      </c>
      <c r="D777" t="s">
        <v>25</v>
      </c>
      <c r="E777" t="s">
        <v>178</v>
      </c>
      <c r="F777" t="s">
        <v>19</v>
      </c>
      <c r="G777" t="s">
        <v>19</v>
      </c>
      <c r="H777" t="s">
        <v>64</v>
      </c>
      <c r="I777" t="s">
        <v>19</v>
      </c>
      <c r="J777" t="s">
        <v>74</v>
      </c>
      <c r="K777" s="21" t="s">
        <v>607</v>
      </c>
      <c r="L777" s="5" t="s">
        <v>19</v>
      </c>
      <c r="M777" s="5" t="s">
        <v>19</v>
      </c>
      <c r="N777" s="5" t="s">
        <v>19</v>
      </c>
      <c r="O777" s="5" t="s">
        <v>19</v>
      </c>
      <c r="P777" s="5" t="str">
        <f>HYPERLINK("http://www.lghausys.co.kr/popup/rn/download/downloadPopup.jsp?from=plwindow&amp;uu=/upload/window/REPORT/LGH-WA18-225.pdf","50등급")</f>
        <v>50등급</v>
      </c>
      <c r="Q777" s="5" t="str">
        <f>HYPERLINK("http://www.lghausys.co.kr/popup/rn/download/downloadPopup.jsp?from=plwindow&amp;uu=/upload/window/REPORT/LGH-WA18-225.pdf","400등급")</f>
        <v>400등급</v>
      </c>
      <c r="R777" s="5" t="s">
        <v>19</v>
      </c>
      <c r="S777" s="5" t="s">
        <v>19</v>
      </c>
      <c r="T777" s="5" t="s">
        <v>19</v>
      </c>
      <c r="U777" s="5" t="s">
        <v>19</v>
      </c>
      <c r="V777" s="5" t="s">
        <v>19</v>
      </c>
      <c r="W777" s="5" t="s">
        <v>152</v>
      </c>
      <c r="X777"/>
    </row>
    <row r="778" spans="1:24">
      <c r="A778" t="s">
        <v>19</v>
      </c>
      <c r="B778" t="s">
        <v>82</v>
      </c>
      <c r="C778" t="s">
        <v>34</v>
      </c>
      <c r="D778" t="s">
        <v>56</v>
      </c>
      <c r="E778" t="s">
        <v>19</v>
      </c>
      <c r="F778" t="s">
        <v>19</v>
      </c>
      <c r="G778" t="s">
        <v>19</v>
      </c>
      <c r="H778" t="s">
        <v>19</v>
      </c>
      <c r="I778" t="s">
        <v>19</v>
      </c>
      <c r="J778" t="s">
        <v>74</v>
      </c>
      <c r="K778" s="21" t="s">
        <v>607</v>
      </c>
      <c r="L778" s="5" t="s">
        <v>19</v>
      </c>
      <c r="M778" s="5" t="s">
        <v>19</v>
      </c>
      <c r="N778" s="5" t="str">
        <f>HYPERLINK("http://www.lghausys.co.kr/popup/rn/download/downloadPopup.jsp?from=plwindow&amp;uu=/upload/window/REPORT/LGH-TA18-234.pdf","1.887")</f>
        <v>1.887</v>
      </c>
      <c r="O778" s="5" t="s">
        <v>19</v>
      </c>
      <c r="P778" s="5" t="s">
        <v>19</v>
      </c>
      <c r="Q778" s="5" t="s">
        <v>19</v>
      </c>
      <c r="R778" s="5" t="s">
        <v>19</v>
      </c>
      <c r="S778" s="5" t="s">
        <v>19</v>
      </c>
      <c r="T778" s="5" t="s">
        <v>19</v>
      </c>
      <c r="U778" s="5" t="s">
        <v>19</v>
      </c>
      <c r="V778" s="5" t="s">
        <v>19</v>
      </c>
      <c r="W778" s="5" t="s">
        <v>75</v>
      </c>
      <c r="X778"/>
    </row>
    <row r="779" spans="1:24">
      <c r="A779" t="s">
        <v>62</v>
      </c>
      <c r="B779" t="s">
        <v>19</v>
      </c>
      <c r="C779" t="s">
        <v>31</v>
      </c>
      <c r="D779" t="s">
        <v>25</v>
      </c>
      <c r="E779" t="s">
        <v>19</v>
      </c>
      <c r="F779" t="s">
        <v>19</v>
      </c>
      <c r="G779" t="s">
        <v>19</v>
      </c>
      <c r="H779" t="s">
        <v>28</v>
      </c>
      <c r="I779" t="s">
        <v>19</v>
      </c>
      <c r="J779" t="s">
        <v>145</v>
      </c>
      <c r="K779" s="21" t="s">
        <v>607</v>
      </c>
      <c r="L779" s="5" t="s">
        <v>19</v>
      </c>
      <c r="M779" s="5" t="s">
        <v>19</v>
      </c>
      <c r="N779" s="5" t="s">
        <v>19</v>
      </c>
      <c r="O779" s="5" t="str">
        <f>HYPERLINK("http://www.lghausys.co.kr/popup/rn/download/downloadPopup.jsp?from=plwindow&amp;uu=/upload/window/REPORT/LGH-WA18-230.pdf","1등급")</f>
        <v>1등급</v>
      </c>
      <c r="P779" s="5" t="s">
        <v>19</v>
      </c>
      <c r="Q779" s="5" t="s">
        <v>19</v>
      </c>
      <c r="R779" s="5" t="s">
        <v>19</v>
      </c>
      <c r="S779" s="5" t="s">
        <v>19</v>
      </c>
      <c r="T779" s="5" t="s">
        <v>19</v>
      </c>
      <c r="U779" s="5" t="s">
        <v>19</v>
      </c>
      <c r="V779" s="5" t="s">
        <v>19</v>
      </c>
      <c r="W779" s="5" t="s">
        <v>152</v>
      </c>
      <c r="X779"/>
    </row>
    <row r="780" spans="1:24">
      <c r="A780" t="s">
        <v>52</v>
      </c>
      <c r="B780" t="s">
        <v>19</v>
      </c>
      <c r="C780" t="s">
        <v>31</v>
      </c>
      <c r="D780" t="s">
        <v>89</v>
      </c>
      <c r="E780" t="s">
        <v>19</v>
      </c>
      <c r="F780" t="s">
        <v>19</v>
      </c>
      <c r="G780" t="s">
        <v>19</v>
      </c>
      <c r="H780" t="s">
        <v>28</v>
      </c>
      <c r="I780" t="s">
        <v>19</v>
      </c>
      <c r="J780" t="s">
        <v>145</v>
      </c>
      <c r="K780" s="21" t="s">
        <v>607</v>
      </c>
      <c r="L780" s="5" t="s">
        <v>19</v>
      </c>
      <c r="M780" s="5" t="s">
        <v>19</v>
      </c>
      <c r="N780" s="5" t="s">
        <v>19</v>
      </c>
      <c r="O780" s="5" t="str">
        <f>HYPERLINK("http://www.lghausys.co.kr/popup/rn/download/downloadPopup.jsp?from=plwindow&amp;uu=/upload/window/REPORT/LGH-WA18-231.pdf","1등급")</f>
        <v>1등급</v>
      </c>
      <c r="P780" s="5" t="s">
        <v>19</v>
      </c>
      <c r="Q780" s="5" t="s">
        <v>19</v>
      </c>
      <c r="R780" s="5" t="s">
        <v>19</v>
      </c>
      <c r="S780" s="5" t="s">
        <v>19</v>
      </c>
      <c r="T780" s="5" t="s">
        <v>19</v>
      </c>
      <c r="U780" s="5" t="s">
        <v>19</v>
      </c>
      <c r="V780" s="5" t="s">
        <v>19</v>
      </c>
      <c r="W780" s="5" t="s">
        <v>152</v>
      </c>
      <c r="X780"/>
    </row>
    <row r="781" spans="1:24">
      <c r="A781" t="s">
        <v>52</v>
      </c>
      <c r="B781" t="s">
        <v>19</v>
      </c>
      <c r="C781" t="s">
        <v>31</v>
      </c>
      <c r="D781" t="s">
        <v>32</v>
      </c>
      <c r="E781" t="s">
        <v>19</v>
      </c>
      <c r="F781" t="s">
        <v>19</v>
      </c>
      <c r="G781" t="s">
        <v>19</v>
      </c>
      <c r="H781" t="s">
        <v>28</v>
      </c>
      <c r="I781" t="s">
        <v>19</v>
      </c>
      <c r="J781" t="s">
        <v>145</v>
      </c>
      <c r="K781" s="21" t="s">
        <v>607</v>
      </c>
      <c r="L781" s="5" t="s">
        <v>19</v>
      </c>
      <c r="M781" s="5" t="s">
        <v>19</v>
      </c>
      <c r="N781" s="5" t="s">
        <v>19</v>
      </c>
      <c r="O781" s="5" t="str">
        <f>HYPERLINK("http://www.lghausys.co.kr/popup/rn/download/downloadPopup.jsp?from=plwindow&amp;uu=/upload/window/REPORT/LGH-WA18-232.pdf","1등급")</f>
        <v>1등급</v>
      </c>
      <c r="P781" s="5" t="s">
        <v>19</v>
      </c>
      <c r="Q781" s="5" t="s">
        <v>19</v>
      </c>
      <c r="R781" s="5" t="s">
        <v>19</v>
      </c>
      <c r="S781" s="5" t="s">
        <v>19</v>
      </c>
      <c r="T781" s="5" t="s">
        <v>19</v>
      </c>
      <c r="U781" s="5" t="s">
        <v>19</v>
      </c>
      <c r="V781" s="5" t="s">
        <v>19</v>
      </c>
      <c r="W781" s="5" t="s">
        <v>152</v>
      </c>
      <c r="X781"/>
    </row>
    <row r="782" spans="1:24">
      <c r="A782" t="s">
        <v>133</v>
      </c>
      <c r="B782" t="s">
        <v>19</v>
      </c>
      <c r="C782" t="s">
        <v>31</v>
      </c>
      <c r="D782" t="s">
        <v>25</v>
      </c>
      <c r="E782" t="s">
        <v>223</v>
      </c>
      <c r="F782" t="s">
        <v>19</v>
      </c>
      <c r="G782" t="s">
        <v>19</v>
      </c>
      <c r="H782" t="s">
        <v>25</v>
      </c>
      <c r="I782" t="s">
        <v>19</v>
      </c>
      <c r="J782" t="s">
        <v>74</v>
      </c>
      <c r="K782" s="21" t="s">
        <v>607</v>
      </c>
      <c r="L782" s="5" t="s">
        <v>19</v>
      </c>
      <c r="M782" s="5" t="s">
        <v>19</v>
      </c>
      <c r="N782" s="5" t="s">
        <v>19</v>
      </c>
      <c r="O782" s="5" t="str">
        <f>HYPERLINK("http://www.lghausys.co.kr/popup/rn/download/downloadPopup.jsp?from=plwindow&amp;uu=/upload/window/REPORT/LGH-WA18-234.pdf","1등급")</f>
        <v>1등급</v>
      </c>
      <c r="P782" s="5" t="s">
        <v>19</v>
      </c>
      <c r="Q782" s="5" t="s">
        <v>19</v>
      </c>
      <c r="R782" s="5" t="s">
        <v>19</v>
      </c>
      <c r="S782" s="5" t="s">
        <v>19</v>
      </c>
      <c r="T782" s="5" t="s">
        <v>19</v>
      </c>
      <c r="U782" s="5" t="s">
        <v>19</v>
      </c>
      <c r="V782" s="5" t="s">
        <v>19</v>
      </c>
      <c r="W782" s="5" t="s">
        <v>152</v>
      </c>
      <c r="X782"/>
    </row>
    <row r="783" spans="1:24">
      <c r="A783" t="s">
        <v>61</v>
      </c>
      <c r="B783" t="s">
        <v>19</v>
      </c>
      <c r="C783" t="s">
        <v>31</v>
      </c>
      <c r="D783" t="s">
        <v>41</v>
      </c>
      <c r="E783" t="s">
        <v>19</v>
      </c>
      <c r="F783" t="s">
        <v>19</v>
      </c>
      <c r="G783" t="s">
        <v>19</v>
      </c>
      <c r="H783" t="s">
        <v>19</v>
      </c>
      <c r="I783" t="s">
        <v>19</v>
      </c>
      <c r="J783" t="s">
        <v>99</v>
      </c>
      <c r="K783" s="21" t="s">
        <v>607</v>
      </c>
      <c r="L783" s="5" t="s">
        <v>19</v>
      </c>
      <c r="M783" s="5" t="s">
        <v>19</v>
      </c>
      <c r="N783" s="5" t="s">
        <v>19</v>
      </c>
      <c r="O783" s="5" t="str">
        <f>HYPERLINK("http://www.lghausys.co.kr/popup/rn/download/downloadPopup.jsp?from=plwindow&amp;uu=/upload/window/REPORT/LGH-WA18-236.pdf","2등급")</f>
        <v>2등급</v>
      </c>
      <c r="P783" s="5" t="str">
        <f>HYPERLINK("http://www.lghausys.co.kr/popup/rn/download/downloadPopup.jsp?from=plwindow&amp;uu=/upload/window/REPORT/LGH-WA18-236.pdf","15등급")</f>
        <v>15등급</v>
      </c>
      <c r="Q783" s="5" t="str">
        <f>HYPERLINK("http://www.lghausys.co.kr/popup/rn/download/downloadPopup.jsp?from=plwindow&amp;uu=/upload/window/REPORT/LGH-WA18-236.pdf","240등급")</f>
        <v>240등급</v>
      </c>
      <c r="R783" s="5" t="s">
        <v>19</v>
      </c>
      <c r="S783" s="5" t="s">
        <v>19</v>
      </c>
      <c r="T783" s="5" t="s">
        <v>19</v>
      </c>
      <c r="U783" s="5" t="s">
        <v>19</v>
      </c>
      <c r="V783" s="5" t="s">
        <v>19</v>
      </c>
      <c r="W783" s="5" t="s">
        <v>152</v>
      </c>
      <c r="X783"/>
    </row>
    <row r="784" spans="1:24">
      <c r="A784" t="s">
        <v>73</v>
      </c>
      <c r="B784" t="s">
        <v>19</v>
      </c>
      <c r="C784" t="s">
        <v>31</v>
      </c>
      <c r="D784" t="s">
        <v>25</v>
      </c>
      <c r="E784" t="s">
        <v>19</v>
      </c>
      <c r="F784" t="s">
        <v>19</v>
      </c>
      <c r="G784" t="s">
        <v>19</v>
      </c>
      <c r="H784" t="s">
        <v>25</v>
      </c>
      <c r="I784" t="s">
        <v>19</v>
      </c>
      <c r="J784" t="s">
        <v>74</v>
      </c>
      <c r="K784" s="21" t="s">
        <v>607</v>
      </c>
      <c r="L784" s="5" t="s">
        <v>19</v>
      </c>
      <c r="M784" s="5" t="s">
        <v>19</v>
      </c>
      <c r="N784" s="5" t="s">
        <v>19</v>
      </c>
      <c r="O784" s="5" t="str">
        <f>HYPERLINK("http://www.lghausys.co.kr/popup/rn/download/downloadPopup.jsp?from=plwindow&amp;uu=/upload/window/REPORT/LGH-WA18-237.pdf","1등급")</f>
        <v>1등급</v>
      </c>
      <c r="P784" s="5" t="str">
        <f>HYPERLINK("http://www.lghausys.co.kr/popup/rn/download/downloadPopup.jsp?from=plwindow&amp;uu=/upload/window/REPORT/LGH-WA18-237.pdf","50등급")</f>
        <v>50등급</v>
      </c>
      <c r="Q784" s="5" t="str">
        <f>HYPERLINK("http://www.lghausys.co.kr/popup/rn/download/downloadPopup.jsp?from=plwindow&amp;uu=/upload/window/REPORT/LGH-WA18-237.pdf","400등급")</f>
        <v>400등급</v>
      </c>
      <c r="R784" s="5" t="s">
        <v>19</v>
      </c>
      <c r="S784" s="5" t="s">
        <v>19</v>
      </c>
      <c r="T784" s="5" t="s">
        <v>19</v>
      </c>
      <c r="U784" s="5" t="s">
        <v>19</v>
      </c>
      <c r="V784" s="5" t="s">
        <v>19</v>
      </c>
      <c r="W784" s="5" t="s">
        <v>152</v>
      </c>
      <c r="X784"/>
    </row>
    <row r="785" spans="1:24">
      <c r="A785" t="s">
        <v>52</v>
      </c>
      <c r="B785" t="s">
        <v>19</v>
      </c>
      <c r="C785" t="s">
        <v>31</v>
      </c>
      <c r="D785" t="s">
        <v>25</v>
      </c>
      <c r="E785" t="s">
        <v>19</v>
      </c>
      <c r="F785" t="s">
        <v>19</v>
      </c>
      <c r="G785" t="s">
        <v>19</v>
      </c>
      <c r="H785" t="s">
        <v>25</v>
      </c>
      <c r="I785" t="s">
        <v>19</v>
      </c>
      <c r="J785" t="s">
        <v>74</v>
      </c>
      <c r="K785" s="21" t="s">
        <v>607</v>
      </c>
      <c r="L785" s="5" t="s">
        <v>19</v>
      </c>
      <c r="M785" s="5" t="s">
        <v>19</v>
      </c>
      <c r="N785" s="5" t="s">
        <v>19</v>
      </c>
      <c r="O785" s="5" t="str">
        <f>HYPERLINK("http://www.lghausys.co.kr/popup/rn/download/downloadPopup.jsp?from=plwindow&amp;uu=/upload/window/REPORT/LGH-WA18-238.pdf","1등급")</f>
        <v>1등급</v>
      </c>
      <c r="P785" s="5" t="str">
        <f>HYPERLINK("http://www.lghausys.co.kr/popup/rn/download/downloadPopup.jsp?from=plwindow&amp;uu=/upload/window/REPORT/LGH-WA18-238.pdf","50등급")</f>
        <v>50등급</v>
      </c>
      <c r="Q785" s="5" t="str">
        <f>HYPERLINK("http://www.lghausys.co.kr/popup/rn/download/downloadPopup.jsp?from=plwindow&amp;uu=/upload/window/REPORT/LGH-WA18-238.pdf","400등급")</f>
        <v>400등급</v>
      </c>
      <c r="R785" s="5" t="s">
        <v>19</v>
      </c>
      <c r="S785" s="5" t="s">
        <v>19</v>
      </c>
      <c r="T785" s="5" t="s">
        <v>19</v>
      </c>
      <c r="U785" s="5" t="s">
        <v>19</v>
      </c>
      <c r="V785" s="5" t="s">
        <v>19</v>
      </c>
      <c r="W785" s="5" t="s">
        <v>152</v>
      </c>
      <c r="X785"/>
    </row>
    <row r="786" spans="1:24">
      <c r="A786" t="s">
        <v>221</v>
      </c>
      <c r="B786" t="s">
        <v>19</v>
      </c>
      <c r="C786" t="s">
        <v>20</v>
      </c>
      <c r="D786" t="s">
        <v>64</v>
      </c>
      <c r="E786" t="s">
        <v>157</v>
      </c>
      <c r="F786" t="s">
        <v>19</v>
      </c>
      <c r="G786" t="s">
        <v>19</v>
      </c>
      <c r="H786" t="s">
        <v>19</v>
      </c>
      <c r="I786" t="s">
        <v>19</v>
      </c>
      <c r="J786" t="s">
        <v>74</v>
      </c>
      <c r="K786" s="21" t="str">
        <f>IF(X786&lt;=0.9,HYPERLINK("http://www.lxhausys.co.kr/popup/rn/download/downloadPopup.jsp?from=plwindow&amp;uu=/upload/window/REPORT/LGH-TW18-116.pdf","1등급"),IF(X786&lt;=1.2,HYPERLINK("http://www.lxhausys.co.kr/popup/rn/download/downloadPopup.jsp?from=plwindow&amp;uu=/upload/window/REPORT/LGH-TW18-116.pdf","2등급"),IF(X786&lt;=1.8,HYPERLINK("http://www.lxhausys.co.kr/popup/rn/download/downloadPopup.jsp?from=plwindow&amp;uu=/upload/window/REPORT/LGH-TW18-116.pdf","3등급"),IF(X786&lt;=2.3,HYPERLINK("http://www.lxhausys.co.kr/popup/rn/download/downloadPopup.jsp?from=plwindow&amp;uu=/upload/window/REPORT/LGH-TW18-116.pdf","4등급"),IF(X786&lt;=2.8,HYPERLINK("http://www.lxhausys.co.kr/popup/rn/download/downloadPopup.jsp?from=plwindow&amp;uu=/upload/window/REPORT/LGH-TW18-116.pdf","5등급"),HYPERLINK("http://www.lxhausys.co.kr/popup/rn/download/downloadPopup.jsp?from=plwindow&amp;uu=/upload/window/REPORT/LGH-TW18-116.pdf","등급외"))))))</f>
        <v>5등급</v>
      </c>
      <c r="L786" s="5">
        <v>2.4449999999999998</v>
      </c>
      <c r="M786" s="5" t="s">
        <v>103</v>
      </c>
      <c r="N786" s="5" t="s">
        <v>607</v>
      </c>
      <c r="O786" s="5" t="s">
        <v>19</v>
      </c>
      <c r="P786" s="5" t="s">
        <v>19</v>
      </c>
      <c r="Q786" s="5" t="s">
        <v>19</v>
      </c>
      <c r="R786" s="5" t="s">
        <v>19</v>
      </c>
      <c r="S786" s="5" t="s">
        <v>19</v>
      </c>
      <c r="T786" s="5" t="s">
        <v>19</v>
      </c>
      <c r="U786" s="5" t="s">
        <v>19</v>
      </c>
      <c r="V786" s="5" t="s">
        <v>19</v>
      </c>
      <c r="W786" s="5" t="s">
        <v>19</v>
      </c>
      <c r="X786" s="19">
        <f>L786</f>
        <v>2.4449999999999998</v>
      </c>
    </row>
    <row r="787" spans="1:24">
      <c r="A787" t="s">
        <v>139</v>
      </c>
      <c r="B787" t="s">
        <v>19</v>
      </c>
      <c r="C787" t="s">
        <v>14</v>
      </c>
      <c r="D787" t="s">
        <v>158</v>
      </c>
      <c r="E787" t="s">
        <v>19</v>
      </c>
      <c r="F787" t="s">
        <v>25</v>
      </c>
      <c r="G787" t="s">
        <v>182</v>
      </c>
      <c r="H787" t="s">
        <v>64</v>
      </c>
      <c r="I787" t="s">
        <v>19</v>
      </c>
      <c r="J787" t="s">
        <v>97</v>
      </c>
      <c r="K787" s="21" t="s">
        <v>607</v>
      </c>
      <c r="L787" s="5" t="s">
        <v>19</v>
      </c>
      <c r="M787" s="5" t="s">
        <v>19</v>
      </c>
      <c r="N787" s="5" t="s">
        <v>19</v>
      </c>
      <c r="O787" s="5" t="s">
        <v>19</v>
      </c>
      <c r="P787" s="5" t="s">
        <v>19</v>
      </c>
      <c r="Q787" s="5" t="s">
        <v>19</v>
      </c>
      <c r="R787" s="5" t="s">
        <v>19</v>
      </c>
      <c r="S787" s="5" t="s">
        <v>19</v>
      </c>
      <c r="T787" s="5" t="str">
        <f>HYPERLINK("http://www.lghausys.co.kr/popup/rn/download/downloadPopup.jsp?from=plwindow&amp;uu=/upload/window/REPORT/LGH-DA18-031.pdf","결로발생없음")</f>
        <v>결로발생없음</v>
      </c>
      <c r="U787" s="5" t="s">
        <v>19</v>
      </c>
      <c r="V787" s="5" t="s">
        <v>19</v>
      </c>
      <c r="W787" s="5" t="s">
        <v>75</v>
      </c>
      <c r="X787"/>
    </row>
    <row r="788" spans="1:24">
      <c r="A788" t="s">
        <v>203</v>
      </c>
      <c r="B788" t="s">
        <v>19</v>
      </c>
      <c r="C788" t="s">
        <v>14</v>
      </c>
      <c r="D788" t="s">
        <v>204</v>
      </c>
      <c r="E788" t="s">
        <v>19</v>
      </c>
      <c r="F788" t="s">
        <v>68</v>
      </c>
      <c r="G788" t="s">
        <v>182</v>
      </c>
      <c r="H788" t="s">
        <v>102</v>
      </c>
      <c r="I788" t="s">
        <v>19</v>
      </c>
      <c r="J788" t="s">
        <v>97</v>
      </c>
      <c r="K788" s="21" t="s">
        <v>607</v>
      </c>
      <c r="L788" s="5" t="s">
        <v>19</v>
      </c>
      <c r="M788" s="5" t="s">
        <v>19</v>
      </c>
      <c r="N788" s="5" t="s">
        <v>19</v>
      </c>
      <c r="O788" s="5" t="s">
        <v>19</v>
      </c>
      <c r="P788" s="5" t="s">
        <v>19</v>
      </c>
      <c r="Q788" s="5" t="s">
        <v>19</v>
      </c>
      <c r="R788" s="5" t="s">
        <v>19</v>
      </c>
      <c r="S788" s="5" t="s">
        <v>19</v>
      </c>
      <c r="T788" s="5" t="str">
        <f>HYPERLINK("http://www.lghausys.co.kr/popup/rn/download/downloadPopup.jsp?from=plwindow&amp;uu=/upload/window/REPORT/LGH-DA18-032.pdf","결로발생없음")</f>
        <v>결로발생없음</v>
      </c>
      <c r="U788" s="5" t="s">
        <v>19</v>
      </c>
      <c r="V788" s="5" t="s">
        <v>19</v>
      </c>
      <c r="W788" s="5" t="s">
        <v>75</v>
      </c>
      <c r="X788"/>
    </row>
    <row r="789" spans="1:24">
      <c r="A789" t="s">
        <v>73</v>
      </c>
      <c r="B789" t="s">
        <v>19</v>
      </c>
      <c r="C789" t="s">
        <v>34</v>
      </c>
      <c r="D789" t="s">
        <v>28</v>
      </c>
      <c r="E789" t="s">
        <v>19</v>
      </c>
      <c r="F789" t="s">
        <v>19</v>
      </c>
      <c r="G789" t="s">
        <v>19</v>
      </c>
      <c r="H789" t="s">
        <v>25</v>
      </c>
      <c r="I789" t="s">
        <v>19</v>
      </c>
      <c r="J789" t="s">
        <v>74</v>
      </c>
      <c r="K789" s="21" t="s">
        <v>607</v>
      </c>
      <c r="L789" s="5" t="s">
        <v>19</v>
      </c>
      <c r="M789" s="5" t="s">
        <v>19</v>
      </c>
      <c r="N789" s="5" t="str">
        <f>HYPERLINK("http://www.lghausys.co.kr/popup/rn/download/downloadPopup.jsp?from=plwindow&amp;uu=/upload/window/REPORT/LGH-TA18-239.pdf","1.119")</f>
        <v>1.119</v>
      </c>
      <c r="O789" s="5" t="s">
        <v>19</v>
      </c>
      <c r="P789" s="5" t="s">
        <v>19</v>
      </c>
      <c r="Q789" s="5" t="s">
        <v>19</v>
      </c>
      <c r="R789" s="5" t="s">
        <v>19</v>
      </c>
      <c r="S789" s="5" t="s">
        <v>19</v>
      </c>
      <c r="T789" s="5" t="s">
        <v>19</v>
      </c>
      <c r="U789" s="5" t="s">
        <v>19</v>
      </c>
      <c r="V789" s="5" t="s">
        <v>19</v>
      </c>
      <c r="W789" s="5" t="s">
        <v>75</v>
      </c>
      <c r="X789"/>
    </row>
    <row r="790" spans="1:24">
      <c r="A790" t="s">
        <v>61</v>
      </c>
      <c r="B790" t="s">
        <v>19</v>
      </c>
      <c r="C790" t="s">
        <v>34</v>
      </c>
      <c r="D790" t="s">
        <v>25</v>
      </c>
      <c r="E790" t="s">
        <v>19</v>
      </c>
      <c r="F790" t="s">
        <v>19</v>
      </c>
      <c r="G790" t="s">
        <v>19</v>
      </c>
      <c r="H790" t="s">
        <v>19</v>
      </c>
      <c r="I790" t="s">
        <v>19</v>
      </c>
      <c r="J790" t="s">
        <v>99</v>
      </c>
      <c r="K790" s="21" t="s">
        <v>607</v>
      </c>
      <c r="L790" s="5" t="s">
        <v>19</v>
      </c>
      <c r="M790" s="5" t="s">
        <v>19</v>
      </c>
      <c r="N790" s="5" t="str">
        <f>HYPERLINK("http://www.lghausys.co.kr/popup/rn/download/downloadPopup.jsp?from=plwindow&amp;uu=/upload/window/REPORT/LGH-TA18-240.pdf","2.941")</f>
        <v>2.941</v>
      </c>
      <c r="O790" s="5" t="s">
        <v>19</v>
      </c>
      <c r="P790" s="5" t="s">
        <v>19</v>
      </c>
      <c r="Q790" s="5" t="s">
        <v>19</v>
      </c>
      <c r="R790" s="5" t="s">
        <v>19</v>
      </c>
      <c r="S790" s="5" t="s">
        <v>19</v>
      </c>
      <c r="T790" s="5" t="s">
        <v>19</v>
      </c>
      <c r="U790" s="5" t="s">
        <v>19</v>
      </c>
      <c r="V790" s="5" t="s">
        <v>19</v>
      </c>
      <c r="W790" s="5" t="s">
        <v>75</v>
      </c>
      <c r="X790"/>
    </row>
    <row r="791" spans="1:24">
      <c r="A791" t="s">
        <v>95</v>
      </c>
      <c r="B791" t="s">
        <v>19</v>
      </c>
      <c r="C791" t="s">
        <v>34</v>
      </c>
      <c r="D791" t="s">
        <v>41</v>
      </c>
      <c r="E791" t="s">
        <v>19</v>
      </c>
      <c r="F791" t="s">
        <v>19</v>
      </c>
      <c r="G791" t="s">
        <v>19</v>
      </c>
      <c r="H791" t="s">
        <v>19</v>
      </c>
      <c r="I791" t="s">
        <v>19</v>
      </c>
      <c r="J791" t="s">
        <v>74</v>
      </c>
      <c r="K791" s="21" t="s">
        <v>607</v>
      </c>
      <c r="L791" s="5" t="s">
        <v>19</v>
      </c>
      <c r="M791" s="5" t="s">
        <v>19</v>
      </c>
      <c r="N791" s="5" t="str">
        <f>HYPERLINK("http://www.lghausys.co.kr/popup/rn/download/downloadPopup.jsp?from=plwindow&amp;uu=/upload/window/REPORT/LGH-TA18-241.pdf","2.967")</f>
        <v>2.967</v>
      </c>
      <c r="O791" s="5" t="s">
        <v>19</v>
      </c>
      <c r="P791" s="5" t="s">
        <v>19</v>
      </c>
      <c r="Q791" s="5" t="s">
        <v>19</v>
      </c>
      <c r="R791" s="5" t="s">
        <v>19</v>
      </c>
      <c r="S791" s="5" t="s">
        <v>19</v>
      </c>
      <c r="T791" s="5" t="s">
        <v>19</v>
      </c>
      <c r="U791" s="5" t="s">
        <v>19</v>
      </c>
      <c r="V791" s="5" t="s">
        <v>19</v>
      </c>
      <c r="W791" s="5" t="s">
        <v>75</v>
      </c>
      <c r="X791"/>
    </row>
    <row r="792" spans="1:24">
      <c r="A792" t="s">
        <v>30</v>
      </c>
      <c r="B792" t="s">
        <v>19</v>
      </c>
      <c r="C792" t="s">
        <v>14</v>
      </c>
      <c r="D792" t="s">
        <v>25</v>
      </c>
      <c r="E792" t="s">
        <v>19</v>
      </c>
      <c r="F792" t="s">
        <v>19</v>
      </c>
      <c r="G792" t="s">
        <v>19</v>
      </c>
      <c r="H792" t="s">
        <v>21</v>
      </c>
      <c r="I792" t="s">
        <v>19</v>
      </c>
      <c r="J792" t="s">
        <v>145</v>
      </c>
      <c r="K792" s="21" t="s">
        <v>607</v>
      </c>
      <c r="L792" s="5" t="s">
        <v>19</v>
      </c>
      <c r="M792" s="5" t="s">
        <v>19</v>
      </c>
      <c r="N792" s="5" t="s">
        <v>19</v>
      </c>
      <c r="O792" s="5" t="s">
        <v>19</v>
      </c>
      <c r="P792" s="5" t="s">
        <v>19</v>
      </c>
      <c r="Q792" s="5" t="s">
        <v>19</v>
      </c>
      <c r="R792" s="5" t="s">
        <v>19</v>
      </c>
      <c r="S792" s="5" t="s">
        <v>19</v>
      </c>
      <c r="T792" s="5" t="str">
        <f>HYPERLINK("http://www.lghausys.co.kr/popup/rn/download/downloadPopup.jsp?from=plwindow&amp;uu=/upload/window/REPORT/LGH-DA18-033.pdf","결로발생없음")</f>
        <v>결로발생없음</v>
      </c>
      <c r="U792" s="5" t="s">
        <v>19</v>
      </c>
      <c r="V792" s="5" t="s">
        <v>19</v>
      </c>
      <c r="W792" s="5" t="s">
        <v>75</v>
      </c>
      <c r="X792"/>
    </row>
    <row r="793" spans="1:24">
      <c r="A793" t="s">
        <v>30</v>
      </c>
      <c r="B793" t="s">
        <v>19</v>
      </c>
      <c r="C793" t="s">
        <v>14</v>
      </c>
      <c r="D793" t="s">
        <v>25</v>
      </c>
      <c r="E793" t="s">
        <v>19</v>
      </c>
      <c r="F793" t="s">
        <v>19</v>
      </c>
      <c r="G793" t="s">
        <v>19</v>
      </c>
      <c r="H793" t="s">
        <v>28</v>
      </c>
      <c r="I793" t="s">
        <v>19</v>
      </c>
      <c r="J793" t="s">
        <v>145</v>
      </c>
      <c r="K793" s="21" t="s">
        <v>607</v>
      </c>
      <c r="L793" s="5" t="s">
        <v>19</v>
      </c>
      <c r="M793" s="5" t="s">
        <v>19</v>
      </c>
      <c r="N793" s="5" t="s">
        <v>19</v>
      </c>
      <c r="O793" s="5" t="s">
        <v>19</v>
      </c>
      <c r="P793" s="5" t="s">
        <v>19</v>
      </c>
      <c r="Q793" s="5" t="s">
        <v>19</v>
      </c>
      <c r="R793" s="5" t="s">
        <v>19</v>
      </c>
      <c r="S793" s="5" t="s">
        <v>19</v>
      </c>
      <c r="T793" s="5" t="str">
        <f>HYPERLINK("http://www.lghausys.co.kr/popup/rn/download/downloadPopup.jsp?from=plwindow&amp;uu=/upload/window/REPORT/LGH-DA18-034.pdf","결로발생없음")</f>
        <v>결로발생없음</v>
      </c>
      <c r="U793" s="5" t="s">
        <v>19</v>
      </c>
      <c r="V793" s="5" t="s">
        <v>19</v>
      </c>
      <c r="W793" s="5" t="s">
        <v>75</v>
      </c>
      <c r="X793"/>
    </row>
    <row r="794" spans="1:24">
      <c r="A794" t="s">
        <v>30</v>
      </c>
      <c r="B794" t="s">
        <v>19</v>
      </c>
      <c r="C794" t="s">
        <v>14</v>
      </c>
      <c r="D794" t="s">
        <v>28</v>
      </c>
      <c r="E794" t="s">
        <v>19</v>
      </c>
      <c r="F794" t="s">
        <v>19</v>
      </c>
      <c r="G794" t="s">
        <v>19</v>
      </c>
      <c r="H794" t="s">
        <v>28</v>
      </c>
      <c r="I794" t="s">
        <v>19</v>
      </c>
      <c r="J794" t="s">
        <v>145</v>
      </c>
      <c r="K794" s="21" t="s">
        <v>607</v>
      </c>
      <c r="L794" s="5" t="s">
        <v>19</v>
      </c>
      <c r="M794" s="5" t="s">
        <v>19</v>
      </c>
      <c r="N794" s="5" t="s">
        <v>19</v>
      </c>
      <c r="O794" s="5" t="s">
        <v>19</v>
      </c>
      <c r="P794" s="5" t="s">
        <v>19</v>
      </c>
      <c r="Q794" s="5" t="s">
        <v>19</v>
      </c>
      <c r="R794" s="5" t="s">
        <v>19</v>
      </c>
      <c r="S794" s="5" t="s">
        <v>19</v>
      </c>
      <c r="T794" s="5" t="str">
        <f>HYPERLINK("http://www.lghausys.co.kr/popup/rn/download/downloadPopup.jsp?from=plwindow&amp;uu=/upload/window/REPORT/LGH-DA18-035.pdf","결로발생없음")</f>
        <v>결로발생없음</v>
      </c>
      <c r="U794" s="5" t="s">
        <v>19</v>
      </c>
      <c r="V794" s="5" t="s">
        <v>19</v>
      </c>
      <c r="W794" s="5" t="s">
        <v>75</v>
      </c>
      <c r="X794"/>
    </row>
    <row r="795" spans="1:24">
      <c r="A795" t="s">
        <v>30</v>
      </c>
      <c r="B795" t="s">
        <v>19</v>
      </c>
      <c r="C795" t="s">
        <v>14</v>
      </c>
      <c r="D795" t="s">
        <v>28</v>
      </c>
      <c r="E795" t="s">
        <v>19</v>
      </c>
      <c r="F795" t="s">
        <v>19</v>
      </c>
      <c r="G795" t="s">
        <v>19</v>
      </c>
      <c r="H795" t="s">
        <v>25</v>
      </c>
      <c r="I795" t="s">
        <v>19</v>
      </c>
      <c r="J795" t="s">
        <v>145</v>
      </c>
      <c r="K795" s="21" t="s">
        <v>607</v>
      </c>
      <c r="L795" s="5" t="s">
        <v>19</v>
      </c>
      <c r="M795" s="5" t="s">
        <v>19</v>
      </c>
      <c r="N795" s="5" t="s">
        <v>19</v>
      </c>
      <c r="O795" s="5" t="s">
        <v>19</v>
      </c>
      <c r="P795" s="5" t="s">
        <v>19</v>
      </c>
      <c r="Q795" s="5" t="s">
        <v>19</v>
      </c>
      <c r="R795" s="5" t="s">
        <v>19</v>
      </c>
      <c r="S795" s="5" t="s">
        <v>19</v>
      </c>
      <c r="T795" s="5" t="str">
        <f>HYPERLINK("http://www.lghausys.co.kr/popup/rn/download/downloadPopup.jsp?from=plwindow&amp;uu=/upload/window/REPORT/LGH-DA18-036.pdf","결로발생없음")</f>
        <v>결로발생없음</v>
      </c>
      <c r="U795" s="5" t="s">
        <v>19</v>
      </c>
      <c r="V795" s="5" t="s">
        <v>19</v>
      </c>
      <c r="W795" s="5" t="s">
        <v>75</v>
      </c>
      <c r="X795"/>
    </row>
    <row r="796" spans="1:24">
      <c r="A796" t="s">
        <v>30</v>
      </c>
      <c r="B796" t="s">
        <v>19</v>
      </c>
      <c r="C796" t="s">
        <v>14</v>
      </c>
      <c r="D796" t="s">
        <v>28</v>
      </c>
      <c r="E796" t="s">
        <v>19</v>
      </c>
      <c r="F796" t="s">
        <v>19</v>
      </c>
      <c r="G796" t="s">
        <v>19</v>
      </c>
      <c r="H796" t="s">
        <v>25</v>
      </c>
      <c r="I796" t="s">
        <v>19</v>
      </c>
      <c r="J796" t="s">
        <v>145</v>
      </c>
      <c r="K796" s="21" t="s">
        <v>607</v>
      </c>
      <c r="L796" s="5" t="s">
        <v>19</v>
      </c>
      <c r="M796" s="5" t="s">
        <v>19</v>
      </c>
      <c r="N796" s="5" t="s">
        <v>19</v>
      </c>
      <c r="O796" s="5" t="s">
        <v>19</v>
      </c>
      <c r="P796" s="5" t="s">
        <v>19</v>
      </c>
      <c r="Q796" s="5" t="s">
        <v>19</v>
      </c>
      <c r="R796" s="5" t="s">
        <v>19</v>
      </c>
      <c r="S796" s="5" t="s">
        <v>19</v>
      </c>
      <c r="T796" s="5" t="str">
        <f>HYPERLINK("http://www.lghausys.co.kr/popup/rn/download/downloadPopup.jsp?from=plwindow&amp;uu=/upload/window/REPORT/LGH-DA18-037.pdf","결로발생없음")</f>
        <v>결로발생없음</v>
      </c>
      <c r="U796" s="5" t="s">
        <v>19</v>
      </c>
      <c r="V796" s="5" t="s">
        <v>19</v>
      </c>
      <c r="W796" s="5" t="s">
        <v>75</v>
      </c>
      <c r="X796"/>
    </row>
    <row r="797" spans="1:24">
      <c r="A797" t="s">
        <v>27</v>
      </c>
      <c r="B797" t="s">
        <v>19</v>
      </c>
      <c r="C797" t="s">
        <v>14</v>
      </c>
      <c r="D797" t="s">
        <v>28</v>
      </c>
      <c r="E797" t="s">
        <v>67</v>
      </c>
      <c r="F797" t="s">
        <v>19</v>
      </c>
      <c r="G797" t="s">
        <v>19</v>
      </c>
      <c r="H797" t="s">
        <v>28</v>
      </c>
      <c r="I797" t="s">
        <v>19</v>
      </c>
      <c r="J797" t="s">
        <v>145</v>
      </c>
      <c r="K797" s="21" t="s">
        <v>607</v>
      </c>
      <c r="L797" s="5" t="s">
        <v>19</v>
      </c>
      <c r="M797" s="5" t="s">
        <v>19</v>
      </c>
      <c r="N797" s="5" t="s">
        <v>19</v>
      </c>
      <c r="O797" s="5" t="s">
        <v>19</v>
      </c>
      <c r="P797" s="5" t="s">
        <v>19</v>
      </c>
      <c r="Q797" s="5" t="s">
        <v>19</v>
      </c>
      <c r="R797" s="5" t="s">
        <v>19</v>
      </c>
      <c r="S797" s="5" t="s">
        <v>19</v>
      </c>
      <c r="T797" s="5" t="str">
        <f>HYPERLINK("http://www.lghausys.co.kr/popup/rn/download/downloadPopup.jsp?from=plwindow&amp;uu=/upload/window/REPORT/LGH-DA18-038.pdf","결로발생없음")</f>
        <v>결로발생없음</v>
      </c>
      <c r="U797" s="5" t="s">
        <v>19</v>
      </c>
      <c r="V797" s="5" t="s">
        <v>19</v>
      </c>
      <c r="W797" s="5" t="s">
        <v>75</v>
      </c>
      <c r="X797"/>
    </row>
    <row r="798" spans="1:24">
      <c r="A798" t="s">
        <v>27</v>
      </c>
      <c r="B798" t="s">
        <v>19</v>
      </c>
      <c r="C798" t="s">
        <v>14</v>
      </c>
      <c r="D798" t="s">
        <v>25</v>
      </c>
      <c r="E798" t="s">
        <v>178</v>
      </c>
      <c r="F798" t="s">
        <v>19</v>
      </c>
      <c r="G798" t="s">
        <v>19</v>
      </c>
      <c r="H798" t="s">
        <v>21</v>
      </c>
      <c r="I798" t="s">
        <v>19</v>
      </c>
      <c r="J798" t="s">
        <v>145</v>
      </c>
      <c r="K798" s="21" t="s">
        <v>607</v>
      </c>
      <c r="L798" s="5" t="s">
        <v>19</v>
      </c>
      <c r="M798" s="5" t="s">
        <v>19</v>
      </c>
      <c r="N798" s="5" t="s">
        <v>19</v>
      </c>
      <c r="O798" s="5" t="s">
        <v>19</v>
      </c>
      <c r="P798" s="5" t="s">
        <v>19</v>
      </c>
      <c r="Q798" s="5" t="s">
        <v>19</v>
      </c>
      <c r="R798" s="5" t="s">
        <v>19</v>
      </c>
      <c r="S798" s="5" t="s">
        <v>19</v>
      </c>
      <c r="T798" s="5" t="str">
        <f>HYPERLINK("http://www.lghausys.co.kr/popup/rn/download/downloadPopup.jsp?from=plwindow&amp;uu=/upload/window/REPORT/LGH-DA18-039.pdf","결로발생없음")</f>
        <v>결로발생없음</v>
      </c>
      <c r="U798" s="5" t="s">
        <v>19</v>
      </c>
      <c r="V798" s="5" t="s">
        <v>19</v>
      </c>
      <c r="W798" s="5" t="s">
        <v>75</v>
      </c>
      <c r="X798"/>
    </row>
    <row r="799" spans="1:24">
      <c r="A799" t="s">
        <v>27</v>
      </c>
      <c r="B799" t="s">
        <v>19</v>
      </c>
      <c r="C799" t="s">
        <v>14</v>
      </c>
      <c r="D799" t="s">
        <v>25</v>
      </c>
      <c r="E799" t="s">
        <v>147</v>
      </c>
      <c r="F799" t="s">
        <v>19</v>
      </c>
      <c r="G799" t="s">
        <v>19</v>
      </c>
      <c r="H799" t="s">
        <v>28</v>
      </c>
      <c r="I799" t="s">
        <v>19</v>
      </c>
      <c r="J799" t="s">
        <v>145</v>
      </c>
      <c r="K799" s="21" t="s">
        <v>607</v>
      </c>
      <c r="L799" s="5" t="s">
        <v>19</v>
      </c>
      <c r="M799" s="5" t="s">
        <v>19</v>
      </c>
      <c r="N799" s="5" t="s">
        <v>19</v>
      </c>
      <c r="O799" s="5" t="s">
        <v>19</v>
      </c>
      <c r="P799" s="5" t="s">
        <v>19</v>
      </c>
      <c r="Q799" s="5" t="s">
        <v>19</v>
      </c>
      <c r="R799" s="5" t="s">
        <v>19</v>
      </c>
      <c r="S799" s="5" t="s">
        <v>19</v>
      </c>
      <c r="T799" s="5" t="str">
        <f>HYPERLINK("http://www.lghausys.co.kr/popup/rn/download/downloadPopup.jsp?from=plwindow&amp;uu=/upload/window/REPORT/LGH-DA18-040.pdf","결로발생없음")</f>
        <v>결로발생없음</v>
      </c>
      <c r="U799" s="5" t="s">
        <v>19</v>
      </c>
      <c r="V799" s="5" t="s">
        <v>19</v>
      </c>
      <c r="W799" s="5" t="s">
        <v>75</v>
      </c>
      <c r="X799"/>
    </row>
    <row r="800" spans="1:24">
      <c r="A800" t="s">
        <v>27</v>
      </c>
      <c r="B800" t="s">
        <v>19</v>
      </c>
      <c r="C800" t="s">
        <v>14</v>
      </c>
      <c r="D800" t="s">
        <v>28</v>
      </c>
      <c r="E800" t="s">
        <v>96</v>
      </c>
      <c r="F800" t="s">
        <v>19</v>
      </c>
      <c r="G800" t="s">
        <v>19</v>
      </c>
      <c r="H800" t="s">
        <v>28</v>
      </c>
      <c r="I800" t="s">
        <v>19</v>
      </c>
      <c r="J800" t="s">
        <v>145</v>
      </c>
      <c r="K800" s="21" t="s">
        <v>607</v>
      </c>
      <c r="L800" s="5" t="s">
        <v>19</v>
      </c>
      <c r="M800" s="5" t="s">
        <v>19</v>
      </c>
      <c r="N800" s="5" t="s">
        <v>19</v>
      </c>
      <c r="O800" s="5" t="s">
        <v>19</v>
      </c>
      <c r="P800" s="5" t="s">
        <v>19</v>
      </c>
      <c r="Q800" s="5" t="s">
        <v>19</v>
      </c>
      <c r="R800" s="5" t="s">
        <v>19</v>
      </c>
      <c r="S800" s="5" t="s">
        <v>19</v>
      </c>
      <c r="T800" s="5" t="str">
        <f>HYPERLINK("http://www.lghausys.co.kr/popup/rn/download/downloadPopup.jsp?from=plwindow&amp;uu=/upload/window/REPORT/LGH-DA18-041.pdf","결로발생없음")</f>
        <v>결로발생없음</v>
      </c>
      <c r="U800" s="5" t="s">
        <v>19</v>
      </c>
      <c r="V800" s="5" t="s">
        <v>19</v>
      </c>
      <c r="W800" s="5" t="s">
        <v>75</v>
      </c>
      <c r="X800"/>
    </row>
    <row r="801" spans="1:24">
      <c r="A801" t="s">
        <v>27</v>
      </c>
      <c r="B801" t="s">
        <v>19</v>
      </c>
      <c r="C801" t="s">
        <v>14</v>
      </c>
      <c r="D801" t="s">
        <v>25</v>
      </c>
      <c r="E801" t="s">
        <v>178</v>
      </c>
      <c r="F801" t="s">
        <v>19</v>
      </c>
      <c r="G801" t="s">
        <v>19</v>
      </c>
      <c r="H801" t="s">
        <v>28</v>
      </c>
      <c r="I801" t="s">
        <v>19</v>
      </c>
      <c r="J801" t="s">
        <v>145</v>
      </c>
      <c r="K801" s="21" t="s">
        <v>607</v>
      </c>
      <c r="L801" s="5" t="s">
        <v>19</v>
      </c>
      <c r="M801" s="5" t="s">
        <v>19</v>
      </c>
      <c r="N801" s="5" t="s">
        <v>19</v>
      </c>
      <c r="O801" s="5" t="s">
        <v>19</v>
      </c>
      <c r="P801" s="5" t="s">
        <v>19</v>
      </c>
      <c r="Q801" s="5" t="s">
        <v>19</v>
      </c>
      <c r="R801" s="5" t="s">
        <v>19</v>
      </c>
      <c r="S801" s="5" t="s">
        <v>19</v>
      </c>
      <c r="T801" s="5" t="str">
        <f>HYPERLINK("http://www.lghausys.co.kr/popup/rn/download/downloadPopup.jsp?from=plwindow&amp;uu=/upload/window/REPORT/LGH-DA18-042.pdf","결로발생없음")</f>
        <v>결로발생없음</v>
      </c>
      <c r="U801" s="5" t="s">
        <v>19</v>
      </c>
      <c r="V801" s="5" t="s">
        <v>19</v>
      </c>
      <c r="W801" s="5" t="s">
        <v>75</v>
      </c>
      <c r="X801"/>
    </row>
    <row r="802" spans="1:24">
      <c r="A802" t="s">
        <v>27</v>
      </c>
      <c r="B802" t="s">
        <v>19</v>
      </c>
      <c r="C802" t="s">
        <v>14</v>
      </c>
      <c r="D802" t="s">
        <v>25</v>
      </c>
      <c r="E802" t="s">
        <v>147</v>
      </c>
      <c r="F802" t="s">
        <v>19</v>
      </c>
      <c r="G802" t="s">
        <v>19</v>
      </c>
      <c r="H802" t="s">
        <v>21</v>
      </c>
      <c r="I802" t="s">
        <v>19</v>
      </c>
      <c r="J802" t="s">
        <v>145</v>
      </c>
      <c r="K802" s="21" t="s">
        <v>607</v>
      </c>
      <c r="L802" s="5" t="s">
        <v>19</v>
      </c>
      <c r="M802" s="5" t="s">
        <v>19</v>
      </c>
      <c r="N802" s="5" t="s">
        <v>19</v>
      </c>
      <c r="O802" s="5" t="s">
        <v>19</v>
      </c>
      <c r="P802" s="5" t="s">
        <v>19</v>
      </c>
      <c r="Q802" s="5" t="s">
        <v>19</v>
      </c>
      <c r="R802" s="5" t="s">
        <v>19</v>
      </c>
      <c r="S802" s="5" t="s">
        <v>19</v>
      </c>
      <c r="T802" s="5" t="str">
        <f>HYPERLINK("http://www.lghausys.co.kr/popup/rn/download/downloadPopup.jsp?from=plwindow&amp;uu=/upload/window/REPORT/LGH-DA18-043.pdf","결로발생없음")</f>
        <v>결로발생없음</v>
      </c>
      <c r="U802" s="5" t="s">
        <v>19</v>
      </c>
      <c r="V802" s="5" t="s">
        <v>19</v>
      </c>
      <c r="W802" s="5" t="s">
        <v>75</v>
      </c>
      <c r="X802"/>
    </row>
    <row r="803" spans="1:24">
      <c r="A803" t="s">
        <v>224</v>
      </c>
      <c r="B803" t="s">
        <v>19</v>
      </c>
      <c r="C803" t="s">
        <v>31</v>
      </c>
      <c r="D803" t="s">
        <v>68</v>
      </c>
      <c r="E803" t="s">
        <v>19</v>
      </c>
      <c r="F803" t="s">
        <v>19</v>
      </c>
      <c r="G803" t="s">
        <v>19</v>
      </c>
      <c r="H803" t="s">
        <v>19</v>
      </c>
      <c r="I803" t="s">
        <v>19</v>
      </c>
      <c r="J803" t="s">
        <v>74</v>
      </c>
      <c r="K803" s="21" t="s">
        <v>607</v>
      </c>
      <c r="L803" s="5" t="s">
        <v>19</v>
      </c>
      <c r="M803" s="5" t="s">
        <v>19</v>
      </c>
      <c r="N803" s="5" t="s">
        <v>19</v>
      </c>
      <c r="O803" s="5" t="str">
        <f>HYPERLINK("http://www.lghausys.co.kr/popup/rn/download/downloadPopup.jsp?from=plwindow&amp;uu=/upload/window/REPORT/LGH-WA18-253.pdf","2등급")</f>
        <v>2등급</v>
      </c>
      <c r="P803" s="5" t="s">
        <v>19</v>
      </c>
      <c r="Q803" s="5" t="s">
        <v>19</v>
      </c>
      <c r="R803" s="5" t="s">
        <v>19</v>
      </c>
      <c r="S803" s="5" t="s">
        <v>19</v>
      </c>
      <c r="T803" s="5" t="s">
        <v>19</v>
      </c>
      <c r="U803" s="5" t="s">
        <v>19</v>
      </c>
      <c r="V803" s="5" t="s">
        <v>19</v>
      </c>
      <c r="W803" s="5" t="s">
        <v>152</v>
      </c>
      <c r="X803"/>
    </row>
    <row r="804" spans="1:24">
      <c r="A804" t="s">
        <v>224</v>
      </c>
      <c r="B804" t="s">
        <v>19</v>
      </c>
      <c r="C804" t="s">
        <v>31</v>
      </c>
      <c r="D804" t="s">
        <v>102</v>
      </c>
      <c r="E804" t="s">
        <v>19</v>
      </c>
      <c r="F804" t="s">
        <v>19</v>
      </c>
      <c r="G804" t="s">
        <v>19</v>
      </c>
      <c r="H804" t="s">
        <v>19</v>
      </c>
      <c r="I804" t="s">
        <v>19</v>
      </c>
      <c r="J804" t="s">
        <v>74</v>
      </c>
      <c r="K804" s="21" t="s">
        <v>607</v>
      </c>
      <c r="L804" s="5" t="s">
        <v>19</v>
      </c>
      <c r="M804" s="5" t="s">
        <v>19</v>
      </c>
      <c r="N804" s="5" t="s">
        <v>19</v>
      </c>
      <c r="O804" s="5" t="str">
        <f>HYPERLINK("http://www.lghausys.co.kr/popup/rn/download/downloadPopup.jsp?from=plwindow&amp;uu=/upload/window/REPORT/LGH-WA18-254.pdf","2등급")</f>
        <v>2등급</v>
      </c>
      <c r="P804" s="5" t="s">
        <v>19</v>
      </c>
      <c r="Q804" s="5" t="s">
        <v>19</v>
      </c>
      <c r="R804" s="5" t="s">
        <v>19</v>
      </c>
      <c r="S804" s="5" t="s">
        <v>19</v>
      </c>
      <c r="T804" s="5" t="s">
        <v>19</v>
      </c>
      <c r="U804" s="5" t="s">
        <v>19</v>
      </c>
      <c r="V804" s="5" t="s">
        <v>19</v>
      </c>
      <c r="W804" s="5" t="s">
        <v>152</v>
      </c>
      <c r="X804"/>
    </row>
    <row r="805" spans="1:24">
      <c r="A805" t="s">
        <v>224</v>
      </c>
      <c r="B805" t="s">
        <v>19</v>
      </c>
      <c r="C805" t="s">
        <v>31</v>
      </c>
      <c r="D805" t="s">
        <v>102</v>
      </c>
      <c r="E805" t="s">
        <v>19</v>
      </c>
      <c r="F805" t="s">
        <v>19</v>
      </c>
      <c r="G805" t="s">
        <v>19</v>
      </c>
      <c r="H805" t="s">
        <v>19</v>
      </c>
      <c r="I805" t="s">
        <v>19</v>
      </c>
      <c r="J805" t="s">
        <v>97</v>
      </c>
      <c r="K805" s="21" t="s">
        <v>607</v>
      </c>
      <c r="L805" s="5" t="s">
        <v>19</v>
      </c>
      <c r="M805" s="5" t="s">
        <v>19</v>
      </c>
      <c r="N805" s="5" t="s">
        <v>19</v>
      </c>
      <c r="O805" s="5" t="str">
        <f>HYPERLINK("http://www.lghausys.co.kr/popup/rn/download/downloadPopup.jsp?from=plwindow&amp;uu=/upload/window/REPORT/LGH-WA18-255.pdf","2등급")</f>
        <v>2등급</v>
      </c>
      <c r="P805" s="5" t="s">
        <v>19</v>
      </c>
      <c r="Q805" s="5" t="s">
        <v>19</v>
      </c>
      <c r="R805" s="5" t="s">
        <v>19</v>
      </c>
      <c r="S805" s="5" t="s">
        <v>19</v>
      </c>
      <c r="T805" s="5" t="s">
        <v>19</v>
      </c>
      <c r="U805" s="5" t="s">
        <v>19</v>
      </c>
      <c r="V805" s="5" t="s">
        <v>19</v>
      </c>
      <c r="W805" s="5" t="s">
        <v>152</v>
      </c>
      <c r="X805"/>
    </row>
    <row r="806" spans="1:24">
      <c r="A806" t="s">
        <v>225</v>
      </c>
      <c r="B806" t="s">
        <v>19</v>
      </c>
      <c r="C806" t="s">
        <v>31</v>
      </c>
      <c r="D806" t="s">
        <v>68</v>
      </c>
      <c r="E806" t="s">
        <v>19</v>
      </c>
      <c r="F806" t="s">
        <v>19</v>
      </c>
      <c r="G806" t="s">
        <v>19</v>
      </c>
      <c r="H806" t="s">
        <v>19</v>
      </c>
      <c r="I806" t="s">
        <v>19</v>
      </c>
      <c r="J806" t="s">
        <v>74</v>
      </c>
      <c r="K806" s="21" t="s">
        <v>607</v>
      </c>
      <c r="L806" s="5" t="s">
        <v>19</v>
      </c>
      <c r="M806" s="5" t="s">
        <v>19</v>
      </c>
      <c r="N806" s="5" t="s">
        <v>19</v>
      </c>
      <c r="O806" s="5" t="str">
        <f>HYPERLINK("http://www.lghausys.co.kr/popup/rn/download/downloadPopup.jsp?from=plwindow&amp;uu=/upload/window/REPORT/LGH-WA18-256.pdf","2등급")</f>
        <v>2등급</v>
      </c>
      <c r="P806" s="5" t="s">
        <v>19</v>
      </c>
      <c r="Q806" s="5" t="s">
        <v>19</v>
      </c>
      <c r="R806" s="5" t="s">
        <v>19</v>
      </c>
      <c r="S806" s="5" t="s">
        <v>19</v>
      </c>
      <c r="T806" s="5" t="s">
        <v>19</v>
      </c>
      <c r="U806" s="5" t="s">
        <v>19</v>
      </c>
      <c r="V806" s="5" t="s">
        <v>19</v>
      </c>
      <c r="W806" s="5" t="s">
        <v>152</v>
      </c>
      <c r="X806"/>
    </row>
    <row r="807" spans="1:24">
      <c r="A807" t="s">
        <v>225</v>
      </c>
      <c r="B807" t="s">
        <v>19</v>
      </c>
      <c r="C807" t="s">
        <v>31</v>
      </c>
      <c r="D807" t="s">
        <v>102</v>
      </c>
      <c r="E807" t="s">
        <v>19</v>
      </c>
      <c r="F807" t="s">
        <v>19</v>
      </c>
      <c r="G807" t="s">
        <v>19</v>
      </c>
      <c r="H807" t="s">
        <v>19</v>
      </c>
      <c r="I807" t="s">
        <v>19</v>
      </c>
      <c r="J807" t="s">
        <v>74</v>
      </c>
      <c r="K807" s="21" t="s">
        <v>607</v>
      </c>
      <c r="L807" s="5" t="s">
        <v>19</v>
      </c>
      <c r="M807" s="5" t="s">
        <v>19</v>
      </c>
      <c r="N807" s="5" t="s">
        <v>19</v>
      </c>
      <c r="O807" s="5" t="str">
        <f>HYPERLINK("http://www.lghausys.co.kr/popup/rn/download/downloadPopup.jsp?from=plwindow&amp;uu=/upload/window/REPORT/LGH-WA18-257.pdf","2등급")</f>
        <v>2등급</v>
      </c>
      <c r="P807" s="5" t="s">
        <v>19</v>
      </c>
      <c r="Q807" s="5" t="s">
        <v>19</v>
      </c>
      <c r="R807" s="5" t="s">
        <v>19</v>
      </c>
      <c r="S807" s="5" t="s">
        <v>19</v>
      </c>
      <c r="T807" s="5" t="s">
        <v>19</v>
      </c>
      <c r="U807" s="5" t="s">
        <v>19</v>
      </c>
      <c r="V807" s="5" t="s">
        <v>19</v>
      </c>
      <c r="W807" s="5" t="s">
        <v>152</v>
      </c>
      <c r="X807"/>
    </row>
    <row r="808" spans="1:24">
      <c r="A808" t="s">
        <v>225</v>
      </c>
      <c r="B808" t="s">
        <v>19</v>
      </c>
      <c r="C808" t="s">
        <v>31</v>
      </c>
      <c r="D808" t="s">
        <v>102</v>
      </c>
      <c r="E808" t="s">
        <v>19</v>
      </c>
      <c r="F808" t="s">
        <v>19</v>
      </c>
      <c r="G808" t="s">
        <v>19</v>
      </c>
      <c r="H808" t="s">
        <v>19</v>
      </c>
      <c r="I808" t="s">
        <v>19</v>
      </c>
      <c r="J808" t="s">
        <v>97</v>
      </c>
      <c r="K808" s="21" t="s">
        <v>607</v>
      </c>
      <c r="L808" s="5" t="s">
        <v>19</v>
      </c>
      <c r="M808" s="5" t="s">
        <v>19</v>
      </c>
      <c r="N808" s="5" t="s">
        <v>19</v>
      </c>
      <c r="O808" s="5" t="str">
        <f>HYPERLINK("http://www.lghausys.co.kr/popup/rn/download/downloadPopup.jsp?from=plwindow&amp;uu=/upload/window/REPORT/LGH-WA18-258.pdf","2등급")</f>
        <v>2등급</v>
      </c>
      <c r="P808" s="5" t="s">
        <v>19</v>
      </c>
      <c r="Q808" s="5" t="s">
        <v>19</v>
      </c>
      <c r="R808" s="5" t="s">
        <v>19</v>
      </c>
      <c r="S808" s="5" t="s">
        <v>19</v>
      </c>
      <c r="T808" s="5" t="s">
        <v>19</v>
      </c>
      <c r="U808" s="5" t="s">
        <v>19</v>
      </c>
      <c r="V808" s="5" t="s">
        <v>19</v>
      </c>
      <c r="W808" s="5" t="s">
        <v>152</v>
      </c>
      <c r="X808"/>
    </row>
    <row r="809" spans="1:24">
      <c r="A809" t="s">
        <v>226</v>
      </c>
      <c r="B809" t="s">
        <v>19</v>
      </c>
      <c r="C809" t="s">
        <v>31</v>
      </c>
      <c r="D809" t="s">
        <v>25</v>
      </c>
      <c r="E809" t="s">
        <v>227</v>
      </c>
      <c r="F809" t="s">
        <v>19</v>
      </c>
      <c r="G809" t="s">
        <v>19</v>
      </c>
      <c r="H809" t="s">
        <v>28</v>
      </c>
      <c r="I809" t="s">
        <v>19</v>
      </c>
      <c r="J809" t="s">
        <v>145</v>
      </c>
      <c r="K809" s="21" t="s">
        <v>607</v>
      </c>
      <c r="L809" s="5" t="s">
        <v>19</v>
      </c>
      <c r="M809" s="5" t="s">
        <v>19</v>
      </c>
      <c r="N809" s="5" t="s">
        <v>19</v>
      </c>
      <c r="O809" s="5" t="str">
        <f>HYPERLINK("http://www.lghausys.co.kr/popup/rn/download/downloadPopup.jsp?from=plwindow&amp;uu=/upload/window/REPORT/LGH-WA18-261.pdf","1등급")</f>
        <v>1등급</v>
      </c>
      <c r="P809" s="5" t="str">
        <f>HYPERLINK("http://www.lghausys.co.kr/popup/rn/download/downloadPopup.jsp?from=plwindow&amp;uu=/upload/window/REPORT/LGH-WA18-261.pdf","50등급")</f>
        <v>50등급</v>
      </c>
      <c r="Q809" s="5" t="str">
        <f>HYPERLINK("http://www.lghausys.co.kr/popup/rn/download/downloadPopup.jsp?from=plwindow&amp;uu=/upload/window/REPORT/LGH-WA18-261.pdf","360등급")</f>
        <v>360등급</v>
      </c>
      <c r="R809" s="5" t="s">
        <v>19</v>
      </c>
      <c r="S809" s="5" t="s">
        <v>19</v>
      </c>
      <c r="T809" s="5" t="s">
        <v>19</v>
      </c>
      <c r="U809" s="5" t="s">
        <v>19</v>
      </c>
      <c r="V809" s="5" t="s">
        <v>19</v>
      </c>
      <c r="W809" s="5" t="s">
        <v>152</v>
      </c>
      <c r="X809"/>
    </row>
    <row r="810" spans="1:24">
      <c r="A810" t="s">
        <v>443</v>
      </c>
      <c r="B810" t="s">
        <v>19</v>
      </c>
      <c r="C810" t="s">
        <v>31</v>
      </c>
      <c r="D810" t="s">
        <v>68</v>
      </c>
      <c r="E810" t="s">
        <v>19</v>
      </c>
      <c r="F810" t="s">
        <v>19</v>
      </c>
      <c r="G810" t="s">
        <v>19</v>
      </c>
      <c r="H810" t="s">
        <v>19</v>
      </c>
      <c r="I810" t="s">
        <v>19</v>
      </c>
      <c r="J810" t="s">
        <v>97</v>
      </c>
      <c r="K810" s="21" t="s">
        <v>607</v>
      </c>
      <c r="L810" s="5" t="s">
        <v>19</v>
      </c>
      <c r="M810" s="5" t="s">
        <v>19</v>
      </c>
      <c r="N810" s="5" t="s">
        <v>19</v>
      </c>
      <c r="O810" s="5" t="s">
        <v>19</v>
      </c>
      <c r="P810" s="5" t="str">
        <f>HYPERLINK("http://www.lghausys.co.kr/popup/rn/download/downloadPopup.jsp?from=plwindow&amp;uu=/upload/window/REPORT/LGH-WA18-262.pdf","35등급")</f>
        <v>35등급</v>
      </c>
      <c r="Q810" s="5" t="str">
        <f>HYPERLINK("http://www.lghausys.co.kr/popup/rn/download/downloadPopup.jsp?from=plwindow&amp;uu=/upload/window/REPORT/LGH-WA18-262.pdf","150등급")</f>
        <v>150등급</v>
      </c>
      <c r="R810" s="5" t="s">
        <v>19</v>
      </c>
      <c r="S810" s="5" t="s">
        <v>19</v>
      </c>
      <c r="T810" s="5" t="s">
        <v>19</v>
      </c>
      <c r="U810" s="5" t="s">
        <v>19</v>
      </c>
      <c r="V810" s="5" t="s">
        <v>19</v>
      </c>
      <c r="W810" s="5" t="s">
        <v>152</v>
      </c>
      <c r="X810"/>
    </row>
    <row r="811" spans="1:24">
      <c r="A811" t="s">
        <v>30</v>
      </c>
      <c r="B811" t="s">
        <v>19</v>
      </c>
      <c r="C811" t="s">
        <v>31</v>
      </c>
      <c r="D811" t="s">
        <v>25</v>
      </c>
      <c r="E811" t="s">
        <v>19</v>
      </c>
      <c r="F811" t="s">
        <v>19</v>
      </c>
      <c r="G811" t="s">
        <v>19</v>
      </c>
      <c r="H811" t="s">
        <v>25</v>
      </c>
      <c r="I811" t="s">
        <v>19</v>
      </c>
      <c r="J811" t="s">
        <v>97</v>
      </c>
      <c r="K811" s="21" t="s">
        <v>607</v>
      </c>
      <c r="L811" s="5" t="s">
        <v>19</v>
      </c>
      <c r="M811" s="5" t="s">
        <v>19</v>
      </c>
      <c r="N811" s="5" t="s">
        <v>19</v>
      </c>
      <c r="O811" s="5" t="s">
        <v>19</v>
      </c>
      <c r="P811" s="5" t="str">
        <f>HYPERLINK("http://www.lghausys.co.kr/popup/rn/download/downloadPopup.jsp?from=plwindow&amp;uu=/upload/window/REPORT/LGH-WA18-263.pdf","50등급")</f>
        <v>50등급</v>
      </c>
      <c r="Q811" s="5" t="str">
        <f>HYPERLINK("http://www.lghausys.co.kr/popup/rn/download/downloadPopup.jsp?from=plwindow&amp;uu=/upload/window/REPORT/LGH-WA18-263.pdf","400등급")</f>
        <v>400등급</v>
      </c>
      <c r="R811" s="5" t="s">
        <v>19</v>
      </c>
      <c r="S811" s="5" t="s">
        <v>19</v>
      </c>
      <c r="T811" s="5" t="s">
        <v>19</v>
      </c>
      <c r="U811" s="5" t="s">
        <v>19</v>
      </c>
      <c r="V811" s="5" t="s">
        <v>19</v>
      </c>
      <c r="W811" s="5" t="s">
        <v>152</v>
      </c>
      <c r="X811"/>
    </row>
    <row r="812" spans="1:24">
      <c r="A812" t="s">
        <v>27</v>
      </c>
      <c r="B812" t="s">
        <v>19</v>
      </c>
      <c r="C812" t="s">
        <v>31</v>
      </c>
      <c r="D812" t="s">
        <v>25</v>
      </c>
      <c r="E812" t="s">
        <v>178</v>
      </c>
      <c r="F812" t="s">
        <v>19</v>
      </c>
      <c r="G812" t="s">
        <v>19</v>
      </c>
      <c r="H812" t="s">
        <v>25</v>
      </c>
      <c r="I812" t="s">
        <v>19</v>
      </c>
      <c r="J812" t="s">
        <v>97</v>
      </c>
      <c r="K812" s="21" t="s">
        <v>607</v>
      </c>
      <c r="L812" s="5" t="s">
        <v>19</v>
      </c>
      <c r="M812" s="5" t="s">
        <v>19</v>
      </c>
      <c r="N812" s="5" t="s">
        <v>19</v>
      </c>
      <c r="O812" s="5" t="s">
        <v>19</v>
      </c>
      <c r="P812" s="5" t="str">
        <f>HYPERLINK("http://www.lghausys.co.kr/popup/rn/download/downloadPopup.jsp?from=plwindow&amp;uu=/upload/window/REPORT/LGH-WA18-264.pdf","50등급")</f>
        <v>50등급</v>
      </c>
      <c r="Q812" s="5" t="str">
        <f>HYPERLINK("http://www.lghausys.co.kr/popup/rn/download/downloadPopup.jsp?from=plwindow&amp;uu=/upload/window/REPORT/LGH-WA18-264.pdf","400등급")</f>
        <v>400등급</v>
      </c>
      <c r="R812" s="5" t="s">
        <v>19</v>
      </c>
      <c r="S812" s="5" t="s">
        <v>19</v>
      </c>
      <c r="T812" s="5" t="s">
        <v>19</v>
      </c>
      <c r="U812" s="5" t="s">
        <v>19</v>
      </c>
      <c r="V812" s="5" t="s">
        <v>19</v>
      </c>
      <c r="W812" s="5" t="s">
        <v>152</v>
      </c>
      <c r="X812"/>
    </row>
    <row r="813" spans="1:24">
      <c r="A813" t="s">
        <v>27</v>
      </c>
      <c r="B813" t="s">
        <v>19</v>
      </c>
      <c r="C813" t="s">
        <v>31</v>
      </c>
      <c r="D813" t="s">
        <v>25</v>
      </c>
      <c r="E813" t="s">
        <v>147</v>
      </c>
      <c r="F813" t="s">
        <v>19</v>
      </c>
      <c r="G813" t="s">
        <v>19</v>
      </c>
      <c r="H813" t="s">
        <v>25</v>
      </c>
      <c r="I813" t="s">
        <v>19</v>
      </c>
      <c r="J813" t="s">
        <v>97</v>
      </c>
      <c r="K813" s="21" t="s">
        <v>607</v>
      </c>
      <c r="L813" s="5" t="s">
        <v>19</v>
      </c>
      <c r="M813" s="5" t="s">
        <v>19</v>
      </c>
      <c r="N813" s="5" t="s">
        <v>19</v>
      </c>
      <c r="O813" s="5" t="s">
        <v>19</v>
      </c>
      <c r="P813" s="5" t="str">
        <f>HYPERLINK("http://www.lghausys.co.kr/popup/rn/download/downloadPopup.jsp?from=plwindow&amp;uu=/upload/window/REPORT/LGH-WA18-265.pdf","50등급")</f>
        <v>50등급</v>
      </c>
      <c r="Q813" s="5" t="str">
        <f>HYPERLINK("http://www.lghausys.co.kr/popup/rn/download/downloadPopup.jsp?from=plwindow&amp;uu=/upload/window/REPORT/LGH-WA18-265.pdf","400등급")</f>
        <v>400등급</v>
      </c>
      <c r="R813" s="5" t="s">
        <v>19</v>
      </c>
      <c r="S813" s="5" t="s">
        <v>19</v>
      </c>
      <c r="T813" s="5" t="s">
        <v>19</v>
      </c>
      <c r="U813" s="5" t="s">
        <v>19</v>
      </c>
      <c r="V813" s="5" t="s">
        <v>19</v>
      </c>
      <c r="W813" s="5" t="s">
        <v>152</v>
      </c>
      <c r="X813"/>
    </row>
    <row r="814" spans="1:24">
      <c r="A814" t="s">
        <v>443</v>
      </c>
      <c r="B814" t="s">
        <v>19</v>
      </c>
      <c r="C814" t="s">
        <v>20</v>
      </c>
      <c r="D814" t="s">
        <v>126</v>
      </c>
      <c r="E814" t="s">
        <v>19</v>
      </c>
      <c r="F814" t="s">
        <v>19</v>
      </c>
      <c r="G814" t="s">
        <v>19</v>
      </c>
      <c r="H814" t="s">
        <v>19</v>
      </c>
      <c r="I814" t="s">
        <v>19</v>
      </c>
      <c r="J814" t="s">
        <v>97</v>
      </c>
      <c r="K814" s="21" t="str">
        <f>IF(X814&lt;=0.9,HYPERLINK("http://www.lxhausys.co.kr/popup/rn/download/downloadPopup.jsp?from=plwindow&amp;uu=/upload/window/REPORT/LGH-TW18-127.pdf","1등급"),IF(X814&lt;=1.2,HYPERLINK("http://www.lxhausys.co.kr/popup/rn/download/downloadPopup.jsp?from=plwindow&amp;uu=/upload/window/REPORT/LGH-TW18-127.pdf","2등급"),IF(X814&lt;=1.8,HYPERLINK("http://www.lxhausys.co.kr/popup/rn/download/downloadPopup.jsp?from=plwindow&amp;uu=/upload/window/REPORT/LGH-TW18-127.pdf","3등급"),IF(X814&lt;=2.3,HYPERLINK("http://www.lxhausys.co.kr/popup/rn/download/downloadPopup.jsp?from=plwindow&amp;uu=/upload/window/REPORT/LGH-TW18-127.pdf","4등급"),IF(X814&lt;=2.8,HYPERLINK("http://www.lxhausys.co.kr/popup/rn/download/downloadPopup.jsp?from=plwindow&amp;uu=/upload/window/REPORT/LGH-TW18-127.pdf","5등급"),HYPERLINK("http://www.lxhausys.co.kr/popup/rn/download/downloadPopup.jsp?from=plwindow&amp;uu=/upload/window/REPORT/LGH-TW18-127.pdf","등급외"))))))</f>
        <v>3등급</v>
      </c>
      <c r="L814" s="5">
        <v>1.361</v>
      </c>
      <c r="M814" s="5" t="s">
        <v>22</v>
      </c>
      <c r="N814" s="5" t="s">
        <v>607</v>
      </c>
      <c r="O814" s="5" t="s">
        <v>19</v>
      </c>
      <c r="P814" s="5" t="s">
        <v>19</v>
      </c>
      <c r="Q814" s="5" t="s">
        <v>19</v>
      </c>
      <c r="R814" s="5" t="s">
        <v>19</v>
      </c>
      <c r="S814" s="5" t="s">
        <v>19</v>
      </c>
      <c r="T814" s="5" t="s">
        <v>19</v>
      </c>
      <c r="U814" s="5" t="s">
        <v>19</v>
      </c>
      <c r="V814" s="5" t="s">
        <v>19</v>
      </c>
      <c r="W814" s="5" t="s">
        <v>19</v>
      </c>
      <c r="X814" s="19">
        <f t="shared" ref="X814:X824" si="6">L814</f>
        <v>1.361</v>
      </c>
    </row>
    <row r="815" spans="1:24">
      <c r="A815" t="s">
        <v>443</v>
      </c>
      <c r="B815" t="s">
        <v>19</v>
      </c>
      <c r="C815" t="s">
        <v>20</v>
      </c>
      <c r="D815" t="s">
        <v>198</v>
      </c>
      <c r="E815" t="s">
        <v>19</v>
      </c>
      <c r="F815" t="s">
        <v>19</v>
      </c>
      <c r="G815" t="s">
        <v>19</v>
      </c>
      <c r="H815" t="s">
        <v>19</v>
      </c>
      <c r="I815" t="s">
        <v>19</v>
      </c>
      <c r="J815" t="s">
        <v>97</v>
      </c>
      <c r="K815" s="21" t="str">
        <f>IF(X815&lt;=0.9,HYPERLINK("http://www.lxhausys.co.kr/popup/rn/download/downloadPopup.jsp?from=plwindow&amp;uu=/upload/window/REPORT/LGH-TW18-128.pdf","1등급"),IF(X815&lt;=1.2,HYPERLINK("http://www.lxhausys.co.kr/popup/rn/download/downloadPopup.jsp?from=plwindow&amp;uu=/upload/window/REPORT/LGH-TW18-128.pdf","2등급"),IF(X815&lt;=1.8,HYPERLINK("http://www.lxhausys.co.kr/popup/rn/download/downloadPopup.jsp?from=plwindow&amp;uu=/upload/window/REPORT/LGH-TW18-128.pdf","3등급"),IF(X815&lt;=2.3,HYPERLINK("http://www.lxhausys.co.kr/popup/rn/download/downloadPopup.jsp?from=plwindow&amp;uu=/upload/window/REPORT/LGH-TW18-128.pdf","4등급"),IF(X815&lt;=2.8,HYPERLINK("http://www.lxhausys.co.kr/popup/rn/download/downloadPopup.jsp?from=plwindow&amp;uu=/upload/window/REPORT/LGH-TW18-128.pdf","5등급"),HYPERLINK("http://www.lxhausys.co.kr/popup/rn/download/downloadPopup.jsp?from=plwindow&amp;uu=/upload/window/REPORT/LGH-TW18-128.pdf","등급외"))))))</f>
        <v>2등급</v>
      </c>
      <c r="L815" s="5">
        <v>0.95200000000000007</v>
      </c>
      <c r="M815" s="5" t="s">
        <v>22</v>
      </c>
      <c r="N815" s="5" t="s">
        <v>607</v>
      </c>
      <c r="O815" s="5" t="s">
        <v>19</v>
      </c>
      <c r="P815" s="5" t="s">
        <v>19</v>
      </c>
      <c r="Q815" s="5" t="s">
        <v>19</v>
      </c>
      <c r="R815" s="5" t="s">
        <v>19</v>
      </c>
      <c r="S815" s="5" t="s">
        <v>19</v>
      </c>
      <c r="T815" s="5" t="s">
        <v>19</v>
      </c>
      <c r="U815" s="5" t="s">
        <v>19</v>
      </c>
      <c r="V815" s="5" t="s">
        <v>19</v>
      </c>
      <c r="W815" s="5" t="s">
        <v>19</v>
      </c>
      <c r="X815" s="19">
        <f t="shared" si="6"/>
        <v>0.95200000000000007</v>
      </c>
    </row>
    <row r="816" spans="1:24">
      <c r="A816" t="s">
        <v>100</v>
      </c>
      <c r="B816" t="s">
        <v>19</v>
      </c>
      <c r="C816" t="s">
        <v>20</v>
      </c>
      <c r="D816" t="s">
        <v>102</v>
      </c>
      <c r="E816" t="s">
        <v>19</v>
      </c>
      <c r="F816" t="s">
        <v>19</v>
      </c>
      <c r="G816" t="s">
        <v>19</v>
      </c>
      <c r="H816" t="s">
        <v>102</v>
      </c>
      <c r="I816" t="s">
        <v>19</v>
      </c>
      <c r="J816" t="s">
        <v>74</v>
      </c>
      <c r="K816" s="21" t="str">
        <f>IF(X816&lt;=0.9,HYPERLINK("http://www.lxhausys.co.kr/popup/rn/download/downloadPopup.jsp?from=plwindow&amp;uu=/upload/window/REPORT/LGH-TW18-140.pdf","1등급"),IF(X816&lt;=1.2,HYPERLINK("http://www.lxhausys.co.kr/popup/rn/download/downloadPopup.jsp?from=plwindow&amp;uu=/upload/window/REPORT/LGH-TW18-140.pdf","2등급"),IF(X816&lt;=1.8,HYPERLINK("http://www.lxhausys.co.kr/popup/rn/download/downloadPopup.jsp?from=plwindow&amp;uu=/upload/window/REPORT/LGH-TW18-140.pdf","3등급"),IF(X816&lt;=2.3,HYPERLINK("http://www.lxhausys.co.kr/popup/rn/download/downloadPopup.jsp?from=plwindow&amp;uu=/upload/window/REPORT/LGH-TW18-140.pdf","4등급"),IF(X816&lt;=2.8,HYPERLINK("http://www.lxhausys.co.kr/popup/rn/download/downloadPopup.jsp?from=plwindow&amp;uu=/upload/window/REPORT/LGH-TW18-140.pdf","5등급"),HYPERLINK("http://www.lxhausys.co.kr/popup/rn/download/downloadPopup.jsp?from=plwindow&amp;uu=/upload/window/REPORT/LGH-TW18-140.pdf","등급외"))))))</f>
        <v>1등급</v>
      </c>
      <c r="L816" s="5">
        <v>0.72299999999999998</v>
      </c>
      <c r="M816" s="5" t="s">
        <v>22</v>
      </c>
      <c r="N816" s="5" t="s">
        <v>607</v>
      </c>
      <c r="O816" s="5" t="s">
        <v>19</v>
      </c>
      <c r="P816" s="5" t="s">
        <v>19</v>
      </c>
      <c r="Q816" s="5" t="s">
        <v>19</v>
      </c>
      <c r="R816" s="5" t="s">
        <v>19</v>
      </c>
      <c r="S816" s="5" t="s">
        <v>19</v>
      </c>
      <c r="T816" s="5" t="s">
        <v>19</v>
      </c>
      <c r="U816" s="5" t="s">
        <v>19</v>
      </c>
      <c r="V816" s="5" t="s">
        <v>19</v>
      </c>
      <c r="W816" s="5" t="s">
        <v>19</v>
      </c>
      <c r="X816" s="19">
        <f t="shared" si="6"/>
        <v>0.72299999999999998</v>
      </c>
    </row>
    <row r="817" spans="1:24">
      <c r="A817" t="s">
        <v>100</v>
      </c>
      <c r="B817" t="s">
        <v>19</v>
      </c>
      <c r="C817" t="s">
        <v>20</v>
      </c>
      <c r="D817" t="s">
        <v>126</v>
      </c>
      <c r="E817" t="s">
        <v>19</v>
      </c>
      <c r="F817" t="s">
        <v>19</v>
      </c>
      <c r="G817" t="s">
        <v>19</v>
      </c>
      <c r="H817" t="s">
        <v>126</v>
      </c>
      <c r="I817" t="s">
        <v>19</v>
      </c>
      <c r="J817" t="s">
        <v>74</v>
      </c>
      <c r="K817" s="21" t="str">
        <f>IF(X817&lt;=0.9,HYPERLINK("http://www.lxhausys.co.kr/popup/rn/download/downloadPopup.jsp?from=plwindow&amp;uu=/upload/window/REPORT/LGH-TW18-141.pdf","1등급"),IF(X817&lt;=1.2,HYPERLINK("http://www.lxhausys.co.kr/popup/rn/download/downloadPopup.jsp?from=plwindow&amp;uu=/upload/window/REPORT/LGH-TW18-141.pdf","2등급"),IF(X817&lt;=1.8,HYPERLINK("http://www.lxhausys.co.kr/popup/rn/download/downloadPopup.jsp?from=plwindow&amp;uu=/upload/window/REPORT/LGH-TW18-141.pdf","3등급"),IF(X817&lt;=2.3,HYPERLINK("http://www.lxhausys.co.kr/popup/rn/download/downloadPopup.jsp?from=plwindow&amp;uu=/upload/window/REPORT/LGH-TW18-141.pdf","4등급"),IF(X817&lt;=2.8,HYPERLINK("http://www.lxhausys.co.kr/popup/rn/download/downloadPopup.jsp?from=plwindow&amp;uu=/upload/window/REPORT/LGH-TW18-141.pdf","5등급"),HYPERLINK("http://www.lxhausys.co.kr/popup/rn/download/downloadPopup.jsp?from=plwindow&amp;uu=/upload/window/REPORT/LGH-TW18-141.pdf","등급외"))))))</f>
        <v>1등급</v>
      </c>
      <c r="L817" s="5">
        <v>0.66200000000000003</v>
      </c>
      <c r="M817" s="5" t="s">
        <v>22</v>
      </c>
      <c r="N817" s="5" t="s">
        <v>607</v>
      </c>
      <c r="O817" s="5" t="s">
        <v>19</v>
      </c>
      <c r="P817" s="5" t="s">
        <v>19</v>
      </c>
      <c r="Q817" s="5" t="s">
        <v>19</v>
      </c>
      <c r="R817" s="5" t="s">
        <v>19</v>
      </c>
      <c r="S817" s="5" t="s">
        <v>19</v>
      </c>
      <c r="T817" s="5" t="s">
        <v>19</v>
      </c>
      <c r="U817" s="5" t="s">
        <v>19</v>
      </c>
      <c r="V817" s="5" t="s">
        <v>19</v>
      </c>
      <c r="W817" s="5" t="s">
        <v>19</v>
      </c>
      <c r="X817" s="19">
        <f t="shared" si="6"/>
        <v>0.66200000000000003</v>
      </c>
    </row>
    <row r="818" spans="1:24">
      <c r="A818" t="s">
        <v>100</v>
      </c>
      <c r="B818" t="s">
        <v>19</v>
      </c>
      <c r="C818" t="s">
        <v>20</v>
      </c>
      <c r="D818" t="s">
        <v>126</v>
      </c>
      <c r="E818" t="s">
        <v>19</v>
      </c>
      <c r="F818" t="s">
        <v>19</v>
      </c>
      <c r="G818" t="s">
        <v>19</v>
      </c>
      <c r="H818" t="s">
        <v>68</v>
      </c>
      <c r="I818" t="s">
        <v>19</v>
      </c>
      <c r="J818" t="s">
        <v>74</v>
      </c>
      <c r="K818" s="21" t="str">
        <f>IF(X818&lt;=0.9,HYPERLINK("http://www.lxhausys.co.kr/popup/rn/download/downloadPopup.jsp?from=plwindow&amp;uu=/upload/window/REPORT/LGH-TW18-142.pdf","1등급"),IF(X818&lt;=1.2,HYPERLINK("http://www.lxhausys.co.kr/popup/rn/download/downloadPopup.jsp?from=plwindow&amp;uu=/upload/window/REPORT/LGH-TW18-142.pdf","2등급"),IF(X818&lt;=1.8,HYPERLINK("http://www.lxhausys.co.kr/popup/rn/download/downloadPopup.jsp?from=plwindow&amp;uu=/upload/window/REPORT/LGH-TW18-142.pdf","3등급"),IF(X818&lt;=2.3,HYPERLINK("http://www.lxhausys.co.kr/popup/rn/download/downloadPopup.jsp?from=plwindow&amp;uu=/upload/window/REPORT/LGH-TW18-142.pdf","4등급"),IF(X818&lt;=2.8,HYPERLINK("http://www.lxhausys.co.kr/popup/rn/download/downloadPopup.jsp?from=plwindow&amp;uu=/upload/window/REPORT/LGH-TW18-142.pdf","5등급"),HYPERLINK("http://www.lxhausys.co.kr/popup/rn/download/downloadPopup.jsp?from=plwindow&amp;uu=/upload/window/REPORT/LGH-TW18-142.pdf","등급외"))))))</f>
        <v>1등급</v>
      </c>
      <c r="L818" s="5">
        <v>0.88099999999999989</v>
      </c>
      <c r="M818" s="5" t="s">
        <v>22</v>
      </c>
      <c r="N818" s="5" t="s">
        <v>607</v>
      </c>
      <c r="O818" s="5" t="s">
        <v>19</v>
      </c>
      <c r="P818" s="5" t="s">
        <v>19</v>
      </c>
      <c r="Q818" s="5" t="s">
        <v>19</v>
      </c>
      <c r="R818" s="5" t="s">
        <v>19</v>
      </c>
      <c r="S818" s="5" t="s">
        <v>19</v>
      </c>
      <c r="T818" s="5" t="s">
        <v>19</v>
      </c>
      <c r="U818" s="5" t="s">
        <v>19</v>
      </c>
      <c r="V818" s="5" t="s">
        <v>19</v>
      </c>
      <c r="W818" s="5" t="s">
        <v>19</v>
      </c>
      <c r="X818" s="19">
        <f t="shared" si="6"/>
        <v>0.88099999999999989</v>
      </c>
    </row>
    <row r="819" spans="1:24">
      <c r="A819" t="s">
        <v>100</v>
      </c>
      <c r="B819" t="s">
        <v>19</v>
      </c>
      <c r="C819" t="s">
        <v>20</v>
      </c>
      <c r="D819" t="s">
        <v>102</v>
      </c>
      <c r="E819" t="s">
        <v>19</v>
      </c>
      <c r="F819" t="s">
        <v>19</v>
      </c>
      <c r="G819" t="s">
        <v>19</v>
      </c>
      <c r="H819" t="s">
        <v>68</v>
      </c>
      <c r="I819" t="s">
        <v>19</v>
      </c>
      <c r="J819" t="s">
        <v>74</v>
      </c>
      <c r="K819" s="21" t="str">
        <f>IF(X819&lt;=0.9,HYPERLINK("http://www.lxhausys.co.kr/popup/rn/download/downloadPopup.jsp?from=plwindow&amp;uu=/upload/window/REPORT/LGH-TW18-143.pdf","1등급"),IF(X819&lt;=1.2,HYPERLINK("http://www.lxhausys.co.kr/popup/rn/download/downloadPopup.jsp?from=plwindow&amp;uu=/upload/window/REPORT/LGH-TW18-143.pdf","2등급"),IF(X819&lt;=1.8,HYPERLINK("http://www.lxhausys.co.kr/popup/rn/download/downloadPopup.jsp?from=plwindow&amp;uu=/upload/window/REPORT/LGH-TW18-143.pdf","3등급"),IF(X819&lt;=2.3,HYPERLINK("http://www.lxhausys.co.kr/popup/rn/download/downloadPopup.jsp?from=plwindow&amp;uu=/upload/window/REPORT/LGH-TW18-143.pdf","4등급"),IF(X819&lt;=2.8,HYPERLINK("http://www.lxhausys.co.kr/popup/rn/download/downloadPopup.jsp?from=plwindow&amp;uu=/upload/window/REPORT/LGH-TW18-143.pdf","5등급"),HYPERLINK("http://www.lxhausys.co.kr/popup/rn/download/downloadPopup.jsp?from=plwindow&amp;uu=/upload/window/REPORT/LGH-TW18-143.pdf","등급외"))))))</f>
        <v>2등급</v>
      </c>
      <c r="L819" s="5">
        <v>0.93700000000000006</v>
      </c>
      <c r="M819" s="5" t="s">
        <v>22</v>
      </c>
      <c r="N819" s="5" t="s">
        <v>607</v>
      </c>
      <c r="O819" s="5" t="s">
        <v>19</v>
      </c>
      <c r="P819" s="5" t="s">
        <v>19</v>
      </c>
      <c r="Q819" s="5" t="s">
        <v>19</v>
      </c>
      <c r="R819" s="5" t="s">
        <v>19</v>
      </c>
      <c r="S819" s="5" t="s">
        <v>19</v>
      </c>
      <c r="T819" s="5" t="s">
        <v>19</v>
      </c>
      <c r="U819" s="5" t="s">
        <v>19</v>
      </c>
      <c r="V819" s="5" t="s">
        <v>19</v>
      </c>
      <c r="W819" s="5" t="s">
        <v>19</v>
      </c>
      <c r="X819" s="19">
        <f t="shared" si="6"/>
        <v>0.93700000000000006</v>
      </c>
    </row>
    <row r="820" spans="1:24">
      <c r="A820" t="s">
        <v>100</v>
      </c>
      <c r="B820" t="s">
        <v>19</v>
      </c>
      <c r="C820" t="s">
        <v>20</v>
      </c>
      <c r="D820" t="s">
        <v>68</v>
      </c>
      <c r="E820" t="s">
        <v>19</v>
      </c>
      <c r="F820" t="s">
        <v>19</v>
      </c>
      <c r="G820" t="s">
        <v>19</v>
      </c>
      <c r="H820" t="s">
        <v>126</v>
      </c>
      <c r="I820" t="s">
        <v>19</v>
      </c>
      <c r="J820" t="s">
        <v>74</v>
      </c>
      <c r="K820" s="21" t="str">
        <f>IF(X820&lt;=0.9,HYPERLINK("http://www.lxhausys.co.kr/popup/rn/download/downloadPopup.jsp?from=plwindow&amp;uu=/upload/window/REPORT/LGH-TW18-144.pdf","1등급"),IF(X820&lt;=1.2,HYPERLINK("http://www.lxhausys.co.kr/popup/rn/download/downloadPopup.jsp?from=plwindow&amp;uu=/upload/window/REPORT/LGH-TW18-144.pdf","2등급"),IF(X820&lt;=1.8,HYPERLINK("http://www.lxhausys.co.kr/popup/rn/download/downloadPopup.jsp?from=plwindow&amp;uu=/upload/window/REPORT/LGH-TW18-144.pdf","3등급"),IF(X820&lt;=2.3,HYPERLINK("http://www.lxhausys.co.kr/popup/rn/download/downloadPopup.jsp?from=plwindow&amp;uu=/upload/window/REPORT/LGH-TW18-144.pdf","4등급"),IF(X820&lt;=2.8,HYPERLINK("http://www.lxhausys.co.kr/popup/rn/download/downloadPopup.jsp?from=plwindow&amp;uu=/upload/window/REPORT/LGH-TW18-144.pdf","5등급"),HYPERLINK("http://www.lxhausys.co.kr/popup/rn/download/downloadPopup.jsp?from=plwindow&amp;uu=/upload/window/REPORT/LGH-TW18-144.pdf","등급외"))))))</f>
        <v>1등급</v>
      </c>
      <c r="L820" s="5">
        <v>0.872</v>
      </c>
      <c r="M820" s="5" t="s">
        <v>22</v>
      </c>
      <c r="N820" s="5" t="s">
        <v>607</v>
      </c>
      <c r="O820" s="5" t="s">
        <v>19</v>
      </c>
      <c r="P820" s="5" t="s">
        <v>19</v>
      </c>
      <c r="Q820" s="5" t="s">
        <v>19</v>
      </c>
      <c r="R820" s="5" t="s">
        <v>19</v>
      </c>
      <c r="S820" s="5" t="s">
        <v>19</v>
      </c>
      <c r="T820" s="5" t="s">
        <v>19</v>
      </c>
      <c r="U820" s="5" t="s">
        <v>19</v>
      </c>
      <c r="V820" s="5" t="s">
        <v>19</v>
      </c>
      <c r="W820" s="5" t="s">
        <v>19</v>
      </c>
      <c r="X820" s="19">
        <f t="shared" si="6"/>
        <v>0.872</v>
      </c>
    </row>
    <row r="821" spans="1:24">
      <c r="A821" t="s">
        <v>62</v>
      </c>
      <c r="B821" t="s">
        <v>19</v>
      </c>
      <c r="C821" t="s">
        <v>20</v>
      </c>
      <c r="D821" t="s">
        <v>126</v>
      </c>
      <c r="E821" t="s">
        <v>19</v>
      </c>
      <c r="F821" t="s">
        <v>19</v>
      </c>
      <c r="G821" t="s">
        <v>19</v>
      </c>
      <c r="H821" t="s">
        <v>126</v>
      </c>
      <c r="I821" t="s">
        <v>19</v>
      </c>
      <c r="J821" t="s">
        <v>74</v>
      </c>
      <c r="K821" s="21" t="str">
        <f>IF(X821&lt;=0.9,HYPERLINK("http://www.lxhausys.co.kr/popup/rn/download/downloadPopup.jsp?from=plwindow&amp;uu=/upload/window/REPORT/LGH-TW18-145.pdf","1등급"),IF(X821&lt;=1.2,HYPERLINK("http://www.lxhausys.co.kr/popup/rn/download/downloadPopup.jsp?from=plwindow&amp;uu=/upload/window/REPORT/LGH-TW18-145.pdf","2등급"),IF(X821&lt;=1.8,HYPERLINK("http://www.lxhausys.co.kr/popup/rn/download/downloadPopup.jsp?from=plwindow&amp;uu=/upload/window/REPORT/LGH-TW18-145.pdf","3등급"),IF(X821&lt;=2.3,HYPERLINK("http://www.lxhausys.co.kr/popup/rn/download/downloadPopup.jsp?from=plwindow&amp;uu=/upload/window/REPORT/LGH-TW18-145.pdf","4등급"),IF(X821&lt;=2.8,HYPERLINK("http://www.lxhausys.co.kr/popup/rn/download/downloadPopup.jsp?from=plwindow&amp;uu=/upload/window/REPORT/LGH-TW18-145.pdf","5등급"),HYPERLINK("http://www.lxhausys.co.kr/popup/rn/download/downloadPopup.jsp?from=plwindow&amp;uu=/upload/window/REPORT/LGH-TW18-145.pdf","등급외"))))))</f>
        <v>1등급</v>
      </c>
      <c r="L821" s="5">
        <v>0.73499999999999999</v>
      </c>
      <c r="M821" s="5" t="s">
        <v>22</v>
      </c>
      <c r="N821" s="5" t="s">
        <v>607</v>
      </c>
      <c r="O821" s="5" t="s">
        <v>19</v>
      </c>
      <c r="P821" s="5" t="s">
        <v>19</v>
      </c>
      <c r="Q821" s="5" t="s">
        <v>19</v>
      </c>
      <c r="R821" s="5" t="s">
        <v>19</v>
      </c>
      <c r="S821" s="5" t="s">
        <v>19</v>
      </c>
      <c r="T821" s="5" t="s">
        <v>19</v>
      </c>
      <c r="U821" s="5" t="s">
        <v>19</v>
      </c>
      <c r="V821" s="5" t="s">
        <v>19</v>
      </c>
      <c r="W821" s="5" t="s">
        <v>19</v>
      </c>
      <c r="X821" s="19">
        <f t="shared" si="6"/>
        <v>0.73499999999999999</v>
      </c>
    </row>
    <row r="822" spans="1:24">
      <c r="A822" t="s">
        <v>62</v>
      </c>
      <c r="B822" t="s">
        <v>19</v>
      </c>
      <c r="C822" t="s">
        <v>20</v>
      </c>
      <c r="D822" t="s">
        <v>126</v>
      </c>
      <c r="E822" t="s">
        <v>19</v>
      </c>
      <c r="F822" t="s">
        <v>19</v>
      </c>
      <c r="G822" t="s">
        <v>19</v>
      </c>
      <c r="H822" t="s">
        <v>68</v>
      </c>
      <c r="I822" t="s">
        <v>19</v>
      </c>
      <c r="J822" t="s">
        <v>74</v>
      </c>
      <c r="K822" s="21" t="str">
        <f>IF(X822&lt;=0.9,HYPERLINK("http://www.lxhausys.co.kr/popup/rn/download/downloadPopup.jsp?from=plwindow&amp;uu=/upload/window/REPORT/LGH-TW18-146.pdf","1등급"),IF(X822&lt;=1.2,HYPERLINK("http://www.lxhausys.co.kr/popup/rn/download/downloadPopup.jsp?from=plwindow&amp;uu=/upload/window/REPORT/LGH-TW18-146.pdf","2등급"),IF(X822&lt;=1.8,HYPERLINK("http://www.lxhausys.co.kr/popup/rn/download/downloadPopup.jsp?from=plwindow&amp;uu=/upload/window/REPORT/LGH-TW18-146.pdf","3등급"),IF(X822&lt;=2.3,HYPERLINK("http://www.lxhausys.co.kr/popup/rn/download/downloadPopup.jsp?from=plwindow&amp;uu=/upload/window/REPORT/LGH-TW18-146.pdf","4등급"),IF(X822&lt;=2.8,HYPERLINK("http://www.lxhausys.co.kr/popup/rn/download/downloadPopup.jsp?from=plwindow&amp;uu=/upload/window/REPORT/LGH-TW18-146.pdf","5등급"),HYPERLINK("http://www.lxhausys.co.kr/popup/rn/download/downloadPopup.jsp?from=plwindow&amp;uu=/upload/window/REPORT/LGH-TW18-146.pdf","등급외"))))))</f>
        <v>1등급</v>
      </c>
      <c r="L822" s="5">
        <v>0.89800000000000002</v>
      </c>
      <c r="M822" s="5" t="s">
        <v>22</v>
      </c>
      <c r="N822" s="5" t="s">
        <v>607</v>
      </c>
      <c r="O822" s="5" t="s">
        <v>19</v>
      </c>
      <c r="P822" s="5" t="s">
        <v>19</v>
      </c>
      <c r="Q822" s="5" t="s">
        <v>19</v>
      </c>
      <c r="R822" s="5" t="s">
        <v>19</v>
      </c>
      <c r="S822" s="5" t="s">
        <v>19</v>
      </c>
      <c r="T822" s="5" t="s">
        <v>19</v>
      </c>
      <c r="U822" s="5" t="s">
        <v>19</v>
      </c>
      <c r="V822" s="5" t="s">
        <v>19</v>
      </c>
      <c r="W822" s="5" t="s">
        <v>19</v>
      </c>
      <c r="X822" s="19">
        <f t="shared" si="6"/>
        <v>0.89800000000000002</v>
      </c>
    </row>
    <row r="823" spans="1:24">
      <c r="A823" t="s">
        <v>62</v>
      </c>
      <c r="B823" t="s">
        <v>19</v>
      </c>
      <c r="C823" t="s">
        <v>20</v>
      </c>
      <c r="D823" t="s">
        <v>102</v>
      </c>
      <c r="E823" t="s">
        <v>19</v>
      </c>
      <c r="F823" t="s">
        <v>19</v>
      </c>
      <c r="G823" t="s">
        <v>19</v>
      </c>
      <c r="H823" t="s">
        <v>68</v>
      </c>
      <c r="I823" t="s">
        <v>19</v>
      </c>
      <c r="J823" t="s">
        <v>74</v>
      </c>
      <c r="K823" s="21" t="str">
        <f>IF(X823&lt;=0.9,HYPERLINK("http://www.lxhausys.co.kr/popup/rn/download/downloadPopup.jsp?from=plwindow&amp;uu=/upload/window/REPORT/LGH-TW18-147.pdf","1등급"),IF(X823&lt;=1.2,HYPERLINK("http://www.lxhausys.co.kr/popup/rn/download/downloadPopup.jsp?from=plwindow&amp;uu=/upload/window/REPORT/LGH-TW18-147.pdf","2등급"),IF(X823&lt;=1.8,HYPERLINK("http://www.lxhausys.co.kr/popup/rn/download/downloadPopup.jsp?from=plwindow&amp;uu=/upload/window/REPORT/LGH-TW18-147.pdf","3등급"),IF(X823&lt;=2.3,HYPERLINK("http://www.lxhausys.co.kr/popup/rn/download/downloadPopup.jsp?from=plwindow&amp;uu=/upload/window/REPORT/LGH-TW18-147.pdf","4등급"),IF(X823&lt;=2.8,HYPERLINK("http://www.lxhausys.co.kr/popup/rn/download/downloadPopup.jsp?from=plwindow&amp;uu=/upload/window/REPORT/LGH-TW18-147.pdf","5등급"),HYPERLINK("http://www.lxhausys.co.kr/popup/rn/download/downloadPopup.jsp?from=plwindow&amp;uu=/upload/window/REPORT/LGH-TW18-147.pdf","등급외"))))))</f>
        <v>2등급</v>
      </c>
      <c r="L823" s="5">
        <v>0.995</v>
      </c>
      <c r="M823" s="5" t="s">
        <v>22</v>
      </c>
      <c r="N823" s="5" t="s">
        <v>607</v>
      </c>
      <c r="O823" s="5" t="s">
        <v>19</v>
      </c>
      <c r="P823" s="5" t="s">
        <v>19</v>
      </c>
      <c r="Q823" s="5" t="s">
        <v>19</v>
      </c>
      <c r="R823" s="5" t="s">
        <v>19</v>
      </c>
      <c r="S823" s="5" t="s">
        <v>19</v>
      </c>
      <c r="T823" s="5" t="s">
        <v>19</v>
      </c>
      <c r="U823" s="5" t="s">
        <v>19</v>
      </c>
      <c r="V823" s="5" t="s">
        <v>19</v>
      </c>
      <c r="W823" s="5" t="s">
        <v>19</v>
      </c>
      <c r="X823" s="19">
        <f t="shared" si="6"/>
        <v>0.995</v>
      </c>
    </row>
    <row r="824" spans="1:24">
      <c r="A824" t="s">
        <v>62</v>
      </c>
      <c r="B824" t="s">
        <v>19</v>
      </c>
      <c r="C824" t="s">
        <v>20</v>
      </c>
      <c r="D824" t="s">
        <v>68</v>
      </c>
      <c r="E824" t="s">
        <v>19</v>
      </c>
      <c r="F824" t="s">
        <v>19</v>
      </c>
      <c r="G824" t="s">
        <v>19</v>
      </c>
      <c r="H824" t="s">
        <v>126</v>
      </c>
      <c r="I824" t="s">
        <v>19</v>
      </c>
      <c r="J824" t="s">
        <v>74</v>
      </c>
      <c r="K824" s="21" t="str">
        <f>IF(X824&lt;=0.9,HYPERLINK("http://www.lxhausys.co.kr/popup/rn/download/downloadPopup.jsp?from=plwindow&amp;uu=/upload/window/REPORT/LGH-TW18-148.pdf","1등급"),IF(X824&lt;=1.2,HYPERLINK("http://www.lxhausys.co.kr/popup/rn/download/downloadPopup.jsp?from=plwindow&amp;uu=/upload/window/REPORT/LGH-TW18-148.pdf","2등급"),IF(X824&lt;=1.8,HYPERLINK("http://www.lxhausys.co.kr/popup/rn/download/downloadPopup.jsp?from=plwindow&amp;uu=/upload/window/REPORT/LGH-TW18-148.pdf","3등급"),IF(X824&lt;=2.3,HYPERLINK("http://www.lxhausys.co.kr/popup/rn/download/downloadPopup.jsp?from=plwindow&amp;uu=/upload/window/REPORT/LGH-TW18-148.pdf","4등급"),IF(X824&lt;=2.8,HYPERLINK("http://www.lxhausys.co.kr/popup/rn/download/downloadPopup.jsp?from=plwindow&amp;uu=/upload/window/REPORT/LGH-TW18-148.pdf","5등급"),HYPERLINK("http://www.lxhausys.co.kr/popup/rn/download/downloadPopup.jsp?from=plwindow&amp;uu=/upload/window/REPORT/LGH-TW18-148.pdf","등급외"))))))</f>
        <v>1등급</v>
      </c>
      <c r="L824" s="5">
        <v>0.84499999999999997</v>
      </c>
      <c r="M824" s="5" t="s">
        <v>22</v>
      </c>
      <c r="N824" s="5" t="s">
        <v>607</v>
      </c>
      <c r="O824" s="5" t="s">
        <v>19</v>
      </c>
      <c r="P824" s="5" t="s">
        <v>19</v>
      </c>
      <c r="Q824" s="5" t="s">
        <v>19</v>
      </c>
      <c r="R824" s="5" t="s">
        <v>19</v>
      </c>
      <c r="S824" s="5" t="s">
        <v>19</v>
      </c>
      <c r="T824" s="5" t="s">
        <v>19</v>
      </c>
      <c r="U824" s="5" t="s">
        <v>19</v>
      </c>
      <c r="V824" s="5" t="s">
        <v>19</v>
      </c>
      <c r="W824" s="5" t="s">
        <v>19</v>
      </c>
      <c r="X824" s="19">
        <f t="shared" si="6"/>
        <v>0.84499999999999997</v>
      </c>
    </row>
    <row r="825" spans="1:24">
      <c r="A825" t="s">
        <v>224</v>
      </c>
      <c r="B825" t="s">
        <v>19</v>
      </c>
      <c r="C825" t="s">
        <v>34</v>
      </c>
      <c r="D825" t="s">
        <v>68</v>
      </c>
      <c r="E825" t="s">
        <v>19</v>
      </c>
      <c r="F825" t="s">
        <v>19</v>
      </c>
      <c r="G825" t="s">
        <v>19</v>
      </c>
      <c r="H825" t="s">
        <v>19</v>
      </c>
      <c r="I825" t="s">
        <v>19</v>
      </c>
      <c r="J825" t="s">
        <v>74</v>
      </c>
      <c r="K825" s="21" t="s">
        <v>607</v>
      </c>
      <c r="L825" s="5" t="s">
        <v>19</v>
      </c>
      <c r="M825" s="5" t="s">
        <v>19</v>
      </c>
      <c r="N825" s="5" t="str">
        <f>HYPERLINK("http://www.lghausys.co.kr/popup/rn/download/downloadPopup.jsp?from=plwindow&amp;uu=/upload/window/REPORT/LGH-TA18-260.pdf","2.985")</f>
        <v>2.985</v>
      </c>
      <c r="O825" s="5" t="s">
        <v>19</v>
      </c>
      <c r="P825" s="5" t="s">
        <v>19</v>
      </c>
      <c r="Q825" s="5" t="s">
        <v>19</v>
      </c>
      <c r="R825" s="5" t="s">
        <v>19</v>
      </c>
      <c r="S825" s="5" t="s">
        <v>19</v>
      </c>
      <c r="T825" s="5" t="s">
        <v>19</v>
      </c>
      <c r="U825" s="5" t="s">
        <v>19</v>
      </c>
      <c r="V825" s="5" t="s">
        <v>19</v>
      </c>
      <c r="W825" s="5" t="s">
        <v>75</v>
      </c>
      <c r="X825"/>
    </row>
    <row r="826" spans="1:24">
      <c r="A826" t="s">
        <v>224</v>
      </c>
      <c r="B826" t="s">
        <v>19</v>
      </c>
      <c r="C826" t="s">
        <v>34</v>
      </c>
      <c r="D826" t="s">
        <v>102</v>
      </c>
      <c r="E826" t="s">
        <v>19</v>
      </c>
      <c r="F826" t="s">
        <v>19</v>
      </c>
      <c r="G826" t="s">
        <v>19</v>
      </c>
      <c r="H826" t="s">
        <v>19</v>
      </c>
      <c r="I826" t="s">
        <v>19</v>
      </c>
      <c r="J826" t="s">
        <v>74</v>
      </c>
      <c r="K826" s="21" t="s">
        <v>607</v>
      </c>
      <c r="L826" s="5" t="s">
        <v>19</v>
      </c>
      <c r="M826" s="5" t="s">
        <v>19</v>
      </c>
      <c r="N826" s="5" t="str">
        <f>HYPERLINK("http://www.lghausys.co.kr/popup/rn/download/downloadPopup.jsp?from=plwindow&amp;uu=/upload/window/REPORT/LGH-TA18-261.pdf","1.876")</f>
        <v>1.876</v>
      </c>
      <c r="O826" s="5" t="s">
        <v>19</v>
      </c>
      <c r="P826" s="5" t="s">
        <v>19</v>
      </c>
      <c r="Q826" s="5" t="s">
        <v>19</v>
      </c>
      <c r="R826" s="5" t="s">
        <v>19</v>
      </c>
      <c r="S826" s="5" t="s">
        <v>19</v>
      </c>
      <c r="T826" s="5" t="s">
        <v>19</v>
      </c>
      <c r="U826" s="5" t="s">
        <v>19</v>
      </c>
      <c r="V826" s="5" t="s">
        <v>19</v>
      </c>
      <c r="W826" s="5" t="s">
        <v>75</v>
      </c>
      <c r="X826"/>
    </row>
    <row r="827" spans="1:24">
      <c r="A827" t="s">
        <v>224</v>
      </c>
      <c r="B827" t="s">
        <v>19</v>
      </c>
      <c r="C827" t="s">
        <v>34</v>
      </c>
      <c r="D827" t="s">
        <v>102</v>
      </c>
      <c r="E827" t="s">
        <v>19</v>
      </c>
      <c r="F827" t="s">
        <v>19</v>
      </c>
      <c r="G827" t="s">
        <v>19</v>
      </c>
      <c r="H827" t="s">
        <v>19</v>
      </c>
      <c r="I827" t="s">
        <v>19</v>
      </c>
      <c r="J827" t="s">
        <v>97</v>
      </c>
      <c r="K827" s="21" t="s">
        <v>607</v>
      </c>
      <c r="L827" s="5" t="s">
        <v>19</v>
      </c>
      <c r="M827" s="5" t="s">
        <v>19</v>
      </c>
      <c r="N827" s="5" t="str">
        <f>HYPERLINK("http://www.lghausys.co.kr/popup/rn/download/downloadPopup.jsp?from=plwindow&amp;uu=/upload/window/REPORT/LGH-TA18-262.pdf","1.859")</f>
        <v>1.859</v>
      </c>
      <c r="O827" s="5" t="s">
        <v>19</v>
      </c>
      <c r="P827" s="5" t="s">
        <v>19</v>
      </c>
      <c r="Q827" s="5" t="s">
        <v>19</v>
      </c>
      <c r="R827" s="5" t="s">
        <v>19</v>
      </c>
      <c r="S827" s="5" t="s">
        <v>19</v>
      </c>
      <c r="T827" s="5" t="s">
        <v>19</v>
      </c>
      <c r="U827" s="5" t="s">
        <v>19</v>
      </c>
      <c r="V827" s="5" t="s">
        <v>19</v>
      </c>
      <c r="W827" s="5" t="s">
        <v>75</v>
      </c>
      <c r="X827"/>
    </row>
    <row r="828" spans="1:24">
      <c r="A828" t="s">
        <v>225</v>
      </c>
      <c r="B828" t="s">
        <v>19</v>
      </c>
      <c r="C828" t="s">
        <v>34</v>
      </c>
      <c r="D828" t="s">
        <v>68</v>
      </c>
      <c r="E828" t="s">
        <v>19</v>
      </c>
      <c r="F828" t="s">
        <v>19</v>
      </c>
      <c r="G828" t="s">
        <v>19</v>
      </c>
      <c r="H828" t="s">
        <v>19</v>
      </c>
      <c r="I828" t="s">
        <v>19</v>
      </c>
      <c r="J828" t="s">
        <v>74</v>
      </c>
      <c r="K828" s="21" t="s">
        <v>607</v>
      </c>
      <c r="L828" s="5" t="s">
        <v>19</v>
      </c>
      <c r="M828" s="5" t="s">
        <v>19</v>
      </c>
      <c r="N828" s="5" t="str">
        <f>HYPERLINK("http://www.lghausys.co.kr/popup/rn/download/downloadPopup.jsp?from=plwindow&amp;uu=/upload/window/REPORT/LGH-TA18-263.pdf","3.115")</f>
        <v>3.115</v>
      </c>
      <c r="O828" s="5" t="s">
        <v>19</v>
      </c>
      <c r="P828" s="5" t="s">
        <v>19</v>
      </c>
      <c r="Q828" s="5" t="s">
        <v>19</v>
      </c>
      <c r="R828" s="5" t="s">
        <v>19</v>
      </c>
      <c r="S828" s="5" t="s">
        <v>19</v>
      </c>
      <c r="T828" s="5" t="s">
        <v>19</v>
      </c>
      <c r="U828" s="5" t="s">
        <v>19</v>
      </c>
      <c r="V828" s="5" t="s">
        <v>19</v>
      </c>
      <c r="W828" s="5" t="s">
        <v>75</v>
      </c>
      <c r="X828"/>
    </row>
    <row r="829" spans="1:24">
      <c r="A829" t="s">
        <v>225</v>
      </c>
      <c r="B829" t="s">
        <v>19</v>
      </c>
      <c r="C829" t="s">
        <v>34</v>
      </c>
      <c r="D829" t="s">
        <v>102</v>
      </c>
      <c r="E829" t="s">
        <v>19</v>
      </c>
      <c r="F829" t="s">
        <v>19</v>
      </c>
      <c r="G829" t="s">
        <v>19</v>
      </c>
      <c r="H829" t="s">
        <v>19</v>
      </c>
      <c r="I829" t="s">
        <v>19</v>
      </c>
      <c r="J829" t="s">
        <v>74</v>
      </c>
      <c r="K829" s="21" t="s">
        <v>607</v>
      </c>
      <c r="L829" s="5" t="s">
        <v>19</v>
      </c>
      <c r="M829" s="5" t="s">
        <v>19</v>
      </c>
      <c r="N829" s="5" t="str">
        <f>HYPERLINK("http://www.lghausys.co.kr/popup/rn/download/downloadPopup.jsp?from=plwindow&amp;uu=/upload/window/REPORT/LGH-TA18-264.pdf","2.028")</f>
        <v>2.028</v>
      </c>
      <c r="O829" s="5" t="s">
        <v>19</v>
      </c>
      <c r="P829" s="5" t="s">
        <v>19</v>
      </c>
      <c r="Q829" s="5" t="s">
        <v>19</v>
      </c>
      <c r="R829" s="5" t="s">
        <v>19</v>
      </c>
      <c r="S829" s="5" t="s">
        <v>19</v>
      </c>
      <c r="T829" s="5" t="s">
        <v>19</v>
      </c>
      <c r="U829" s="5" t="s">
        <v>19</v>
      </c>
      <c r="V829" s="5" t="s">
        <v>19</v>
      </c>
      <c r="W829" s="5" t="s">
        <v>75</v>
      </c>
      <c r="X829"/>
    </row>
    <row r="830" spans="1:24">
      <c r="A830" t="s">
        <v>225</v>
      </c>
      <c r="B830" t="s">
        <v>19</v>
      </c>
      <c r="C830" t="s">
        <v>34</v>
      </c>
      <c r="D830" t="s">
        <v>102</v>
      </c>
      <c r="E830" t="s">
        <v>19</v>
      </c>
      <c r="F830" t="s">
        <v>19</v>
      </c>
      <c r="G830" t="s">
        <v>19</v>
      </c>
      <c r="H830" t="s">
        <v>19</v>
      </c>
      <c r="I830" t="s">
        <v>19</v>
      </c>
      <c r="J830" t="s">
        <v>97</v>
      </c>
      <c r="K830" s="21" t="s">
        <v>607</v>
      </c>
      <c r="L830" s="5" t="s">
        <v>19</v>
      </c>
      <c r="M830" s="5" t="s">
        <v>19</v>
      </c>
      <c r="N830" s="5" t="str">
        <f>HYPERLINK("http://www.lghausys.co.kr/popup/rn/download/downloadPopup.jsp?from=plwindow&amp;uu=/upload/window/REPORT/LGH-TA18-265.pdf","1.969")</f>
        <v>1.969</v>
      </c>
      <c r="O830" s="5" t="s">
        <v>19</v>
      </c>
      <c r="P830" s="5" t="s">
        <v>19</v>
      </c>
      <c r="Q830" s="5" t="s">
        <v>19</v>
      </c>
      <c r="R830" s="5" t="s">
        <v>19</v>
      </c>
      <c r="S830" s="5" t="s">
        <v>19</v>
      </c>
      <c r="T830" s="5" t="s">
        <v>19</v>
      </c>
      <c r="U830" s="5" t="s">
        <v>19</v>
      </c>
      <c r="V830" s="5" t="s">
        <v>19</v>
      </c>
      <c r="W830" s="5" t="s">
        <v>75</v>
      </c>
      <c r="X830"/>
    </row>
    <row r="831" spans="1:24">
      <c r="A831" t="s">
        <v>139</v>
      </c>
      <c r="B831" t="s">
        <v>19</v>
      </c>
      <c r="C831" t="s">
        <v>34</v>
      </c>
      <c r="D831" t="s">
        <v>228</v>
      </c>
      <c r="E831" t="s">
        <v>19</v>
      </c>
      <c r="F831" t="s">
        <v>28</v>
      </c>
      <c r="G831" t="s">
        <v>182</v>
      </c>
      <c r="H831" t="s">
        <v>28</v>
      </c>
      <c r="I831" t="s">
        <v>19</v>
      </c>
      <c r="J831" t="s">
        <v>229</v>
      </c>
      <c r="K831" s="21" t="s">
        <v>607</v>
      </c>
      <c r="L831" s="5" t="s">
        <v>19</v>
      </c>
      <c r="M831" s="5" t="s">
        <v>19</v>
      </c>
      <c r="N831" s="5" t="str">
        <f>HYPERLINK("http://www.lghausys.co.kr/popup/rn/download/downloadPopup.jsp?from=plwindow&amp;uu=/upload/window/REPORT/LGH-TA18-266.pdf","0.921")</f>
        <v>0.921</v>
      </c>
      <c r="O831" s="5" t="s">
        <v>19</v>
      </c>
      <c r="P831" s="5" t="s">
        <v>19</v>
      </c>
      <c r="Q831" s="5" t="s">
        <v>19</v>
      </c>
      <c r="R831" s="5" t="s">
        <v>19</v>
      </c>
      <c r="S831" s="5" t="s">
        <v>19</v>
      </c>
      <c r="T831" s="5" t="s">
        <v>19</v>
      </c>
      <c r="U831" s="5" t="s">
        <v>19</v>
      </c>
      <c r="V831" s="5" t="s">
        <v>19</v>
      </c>
      <c r="W831" s="5" t="s">
        <v>75</v>
      </c>
      <c r="X831"/>
    </row>
    <row r="832" spans="1:24">
      <c r="A832" t="s">
        <v>442</v>
      </c>
      <c r="B832" t="s">
        <v>197</v>
      </c>
      <c r="C832" t="s">
        <v>34</v>
      </c>
      <c r="D832" t="s">
        <v>126</v>
      </c>
      <c r="E832" t="s">
        <v>19</v>
      </c>
      <c r="F832" t="s">
        <v>19</v>
      </c>
      <c r="G832" t="s">
        <v>19</v>
      </c>
      <c r="H832" t="s">
        <v>19</v>
      </c>
      <c r="I832" t="s">
        <v>19</v>
      </c>
      <c r="J832" t="s">
        <v>97</v>
      </c>
      <c r="K832" s="21" t="s">
        <v>607</v>
      </c>
      <c r="L832" s="5" t="s">
        <v>19</v>
      </c>
      <c r="M832" s="5" t="s">
        <v>19</v>
      </c>
      <c r="N832" s="5" t="str">
        <f>HYPERLINK("http://www.lghausys.co.kr/popup/rn/download/downloadPopup.jsp?from=plwindow&amp;uu=/upload/window/REPORT/ECL-TR-18-0083.pdf","1.213")</f>
        <v>1.213</v>
      </c>
      <c r="O832" s="5" t="s">
        <v>19</v>
      </c>
      <c r="P832" s="5" t="s">
        <v>19</v>
      </c>
      <c r="Q832" s="5" t="s">
        <v>19</v>
      </c>
      <c r="R832" s="5" t="s">
        <v>19</v>
      </c>
      <c r="S832" s="5" t="s">
        <v>19</v>
      </c>
      <c r="T832" s="5" t="s">
        <v>19</v>
      </c>
      <c r="U832" s="5" t="s">
        <v>19</v>
      </c>
      <c r="V832" s="5" t="s">
        <v>19</v>
      </c>
      <c r="W832" s="5" t="s">
        <v>75</v>
      </c>
      <c r="X832"/>
    </row>
    <row r="833" spans="1:24">
      <c r="A833" t="s">
        <v>30</v>
      </c>
      <c r="B833" t="s">
        <v>19</v>
      </c>
      <c r="C833" t="s">
        <v>34</v>
      </c>
      <c r="D833" t="s">
        <v>28</v>
      </c>
      <c r="E833" t="s">
        <v>19</v>
      </c>
      <c r="F833" t="s">
        <v>19</v>
      </c>
      <c r="G833" t="s">
        <v>19</v>
      </c>
      <c r="H833" t="s">
        <v>28</v>
      </c>
      <c r="I833" t="s">
        <v>19</v>
      </c>
      <c r="J833" t="s">
        <v>99</v>
      </c>
      <c r="K833" s="21" t="s">
        <v>607</v>
      </c>
      <c r="L833" s="5" t="s">
        <v>19</v>
      </c>
      <c r="M833" s="5" t="s">
        <v>19</v>
      </c>
      <c r="N833" s="5" t="str">
        <f>HYPERLINK("http://www.lghausys.co.kr/popup/rn/download/downloadPopup.jsp?from=plwindow&amp;uu=/upload/window/REPORT/LGH-TA18-273.pdf","0.847")</f>
        <v>0.847</v>
      </c>
      <c r="O833" s="5" t="s">
        <v>19</v>
      </c>
      <c r="P833" s="5" t="s">
        <v>19</v>
      </c>
      <c r="Q833" s="5" t="s">
        <v>19</v>
      </c>
      <c r="R833" s="5" t="s">
        <v>19</v>
      </c>
      <c r="S833" s="5" t="s">
        <v>19</v>
      </c>
      <c r="T833" s="5" t="s">
        <v>19</v>
      </c>
      <c r="U833" s="5" t="s">
        <v>19</v>
      </c>
      <c r="V833" s="5" t="s">
        <v>19</v>
      </c>
      <c r="W833" s="5" t="s">
        <v>75</v>
      </c>
      <c r="X833"/>
    </row>
    <row r="834" spans="1:24">
      <c r="A834" t="s">
        <v>19</v>
      </c>
      <c r="B834" t="s">
        <v>208</v>
      </c>
      <c r="C834" t="s">
        <v>31</v>
      </c>
      <c r="D834" t="s">
        <v>25</v>
      </c>
      <c r="E834" t="s">
        <v>178</v>
      </c>
      <c r="F834" t="s">
        <v>19</v>
      </c>
      <c r="G834" t="s">
        <v>19</v>
      </c>
      <c r="H834" t="s">
        <v>25</v>
      </c>
      <c r="I834" t="s">
        <v>19</v>
      </c>
      <c r="J834" t="s">
        <v>99</v>
      </c>
      <c r="K834" s="21" t="s">
        <v>607</v>
      </c>
      <c r="L834" s="5" t="s">
        <v>19</v>
      </c>
      <c r="M834" s="5" t="s">
        <v>19</v>
      </c>
      <c r="N834" s="5" t="s">
        <v>19</v>
      </c>
      <c r="O834" s="5" t="str">
        <f>HYPERLINK("http://www.lghausys.co.kr/popup/rn/download/downloadPopup.jsp?from=plwindow&amp;uu=/upload/window/REPORT/LGH-WA18-272.pdf","1등급")</f>
        <v>1등급</v>
      </c>
      <c r="P834" s="5" t="s">
        <v>19</v>
      </c>
      <c r="Q834" s="5" t="s">
        <v>19</v>
      </c>
      <c r="R834" s="5" t="s">
        <v>19</v>
      </c>
      <c r="S834" s="5" t="s">
        <v>19</v>
      </c>
      <c r="T834" s="5" t="s">
        <v>19</v>
      </c>
      <c r="U834" s="5" t="s">
        <v>19</v>
      </c>
      <c r="V834" s="5" t="s">
        <v>19</v>
      </c>
      <c r="W834" s="5" t="s">
        <v>152</v>
      </c>
      <c r="X834"/>
    </row>
    <row r="835" spans="1:24">
      <c r="A835" t="s">
        <v>221</v>
      </c>
      <c r="B835" t="s">
        <v>19</v>
      </c>
      <c r="C835" t="s">
        <v>31</v>
      </c>
      <c r="D835" t="s">
        <v>64</v>
      </c>
      <c r="E835" t="s">
        <v>157</v>
      </c>
      <c r="F835" t="s">
        <v>19</v>
      </c>
      <c r="G835" t="s">
        <v>19</v>
      </c>
      <c r="H835" t="s">
        <v>19</v>
      </c>
      <c r="I835" t="s">
        <v>19</v>
      </c>
      <c r="J835" t="s">
        <v>74</v>
      </c>
      <c r="K835" s="21" t="s">
        <v>607</v>
      </c>
      <c r="L835" s="5" t="s">
        <v>19</v>
      </c>
      <c r="M835" s="5" t="s">
        <v>19</v>
      </c>
      <c r="N835" s="5" t="s">
        <v>19</v>
      </c>
      <c r="O835" s="5" t="s">
        <v>19</v>
      </c>
      <c r="P835" s="5" t="str">
        <f>HYPERLINK("http://www.lghausys.co.kr/popup/rn/download/downloadPopup.jsp?from=plwindow&amp;uu=/upload/window/REPORT/LGH-WA18-277.pdf","25등급")</f>
        <v>25등급</v>
      </c>
      <c r="Q835" s="5" t="str">
        <f>HYPERLINK("http://www.lghausys.co.kr/popup/rn/download/downloadPopup.jsp?from=plwindow&amp;uu=/upload/window/REPORT/LGH-WA18-277.pdf","300등급")</f>
        <v>300등급</v>
      </c>
      <c r="R835" s="5" t="s">
        <v>19</v>
      </c>
      <c r="S835" s="5" t="s">
        <v>19</v>
      </c>
      <c r="T835" s="5" t="s">
        <v>19</v>
      </c>
      <c r="U835" s="5" t="s">
        <v>19</v>
      </c>
      <c r="V835" s="5" t="s">
        <v>19</v>
      </c>
      <c r="W835" s="5" t="s">
        <v>152</v>
      </c>
      <c r="X835"/>
    </row>
    <row r="836" spans="1:24">
      <c r="A836" t="s">
        <v>221</v>
      </c>
      <c r="B836" t="s">
        <v>19</v>
      </c>
      <c r="C836" t="s">
        <v>31</v>
      </c>
      <c r="D836" t="s">
        <v>25</v>
      </c>
      <c r="E836" t="s">
        <v>178</v>
      </c>
      <c r="F836" t="s">
        <v>19</v>
      </c>
      <c r="G836" t="s">
        <v>19</v>
      </c>
      <c r="H836" t="s">
        <v>64</v>
      </c>
      <c r="I836" t="s">
        <v>19</v>
      </c>
      <c r="J836" t="s">
        <v>74</v>
      </c>
      <c r="K836" s="21" t="s">
        <v>607</v>
      </c>
      <c r="L836" s="5" t="s">
        <v>19</v>
      </c>
      <c r="M836" s="5" t="s">
        <v>19</v>
      </c>
      <c r="N836" s="5" t="s">
        <v>19</v>
      </c>
      <c r="O836" s="5" t="s">
        <v>19</v>
      </c>
      <c r="P836" s="5" t="str">
        <f>HYPERLINK("http://www.lghausys.co.kr/popup/rn/download/downloadPopup.jsp?from=plwindow&amp;uu=/upload/window/REPORT/LGH-WA18-278.pdf","50등급")</f>
        <v>50등급</v>
      </c>
      <c r="Q836" s="5" t="str">
        <f>HYPERLINK("http://www.lghausys.co.kr/popup/rn/download/downloadPopup.jsp?from=plwindow&amp;uu=/upload/window/REPORT/LGH-WA18-278.pdf","400등급")</f>
        <v>400등급</v>
      </c>
      <c r="R836" s="5" t="s">
        <v>19</v>
      </c>
      <c r="S836" s="5" t="s">
        <v>19</v>
      </c>
      <c r="T836" s="5" t="s">
        <v>19</v>
      </c>
      <c r="U836" s="5" t="s">
        <v>19</v>
      </c>
      <c r="V836" s="5" t="s">
        <v>19</v>
      </c>
      <c r="W836" s="5" t="s">
        <v>152</v>
      </c>
      <c r="X836"/>
    </row>
    <row r="837" spans="1:24">
      <c r="A837" t="s">
        <v>69</v>
      </c>
      <c r="B837" t="s">
        <v>19</v>
      </c>
      <c r="C837" t="s">
        <v>31</v>
      </c>
      <c r="D837" t="s">
        <v>51</v>
      </c>
      <c r="E837" t="s">
        <v>19</v>
      </c>
      <c r="F837" t="s">
        <v>19</v>
      </c>
      <c r="G837" t="s">
        <v>19</v>
      </c>
      <c r="H837" t="s">
        <v>19</v>
      </c>
      <c r="I837" t="s">
        <v>19</v>
      </c>
      <c r="J837" t="s">
        <v>74</v>
      </c>
      <c r="K837" s="21" t="s">
        <v>607</v>
      </c>
      <c r="L837" s="5" t="s">
        <v>19</v>
      </c>
      <c r="M837" s="5" t="s">
        <v>19</v>
      </c>
      <c r="N837" s="5" t="s">
        <v>19</v>
      </c>
      <c r="O837" s="5" t="str">
        <f>HYPERLINK("http://www.lghausys.co.kr/popup/rn/download/downloadPopup.jsp?from=plwindow&amp;uu=/upload/window/REPORT/LGH-WA18-283.pdf","1등급")</f>
        <v>1등급</v>
      </c>
      <c r="P837" s="5" t="str">
        <f>HYPERLINK("http://www.lghausys.co.kr/popup/rn/download/downloadPopup.jsp?from=plwindow&amp;uu=/upload/window/REPORT/LGH-WA18-283.pdf","50등급")</f>
        <v>50등급</v>
      </c>
      <c r="Q837" s="5" t="str">
        <f>HYPERLINK("http://www.lghausys.co.kr/popup/rn/download/downloadPopup.jsp?from=plwindow&amp;uu=/upload/window/REPORT/LGH-WA18-283.pdf","300등급")</f>
        <v>300등급</v>
      </c>
      <c r="R837" s="5" t="s">
        <v>19</v>
      </c>
      <c r="S837" s="5" t="s">
        <v>19</v>
      </c>
      <c r="T837" s="5" t="s">
        <v>19</v>
      </c>
      <c r="U837" s="5" t="s">
        <v>19</v>
      </c>
      <c r="V837" s="5" t="s">
        <v>19</v>
      </c>
      <c r="W837" s="5" t="s">
        <v>152</v>
      </c>
      <c r="X837"/>
    </row>
    <row r="838" spans="1:24">
      <c r="A838" t="s">
        <v>60</v>
      </c>
      <c r="B838" t="s">
        <v>19</v>
      </c>
      <c r="C838" t="s">
        <v>34</v>
      </c>
      <c r="D838" t="s">
        <v>28</v>
      </c>
      <c r="E838" t="s">
        <v>19</v>
      </c>
      <c r="F838" t="s">
        <v>19</v>
      </c>
      <c r="G838" t="s">
        <v>19</v>
      </c>
      <c r="H838" t="s">
        <v>28</v>
      </c>
      <c r="I838" t="s">
        <v>19</v>
      </c>
      <c r="J838" t="s">
        <v>99</v>
      </c>
      <c r="K838" s="21" t="s">
        <v>607</v>
      </c>
      <c r="L838" s="5" t="s">
        <v>19</v>
      </c>
      <c r="M838" s="5" t="s">
        <v>19</v>
      </c>
      <c r="N838" s="5" t="str">
        <f>HYPERLINK("http://www.lghausys.co.kr/popup/rn/download/downloadPopup.jsp?from=plwindow&amp;uu=/upload/window/REPORT/LGH-TA18-278.pdf","0.937")</f>
        <v>0.937</v>
      </c>
      <c r="O838" s="5" t="s">
        <v>19</v>
      </c>
      <c r="P838" s="5" t="s">
        <v>19</v>
      </c>
      <c r="Q838" s="5" t="s">
        <v>19</v>
      </c>
      <c r="R838" s="5" t="s">
        <v>19</v>
      </c>
      <c r="S838" s="5" t="s">
        <v>19</v>
      </c>
      <c r="T838" s="5" t="s">
        <v>19</v>
      </c>
      <c r="U838" s="5" t="s">
        <v>19</v>
      </c>
      <c r="V838" s="5" t="s">
        <v>19</v>
      </c>
      <c r="W838" s="5" t="s">
        <v>75</v>
      </c>
      <c r="X838"/>
    </row>
    <row r="839" spans="1:24">
      <c r="A839" t="s">
        <v>73</v>
      </c>
      <c r="B839" t="s">
        <v>19</v>
      </c>
      <c r="C839" t="s">
        <v>34</v>
      </c>
      <c r="D839" t="s">
        <v>25</v>
      </c>
      <c r="E839" t="s">
        <v>19</v>
      </c>
      <c r="F839" t="s">
        <v>19</v>
      </c>
      <c r="G839" t="s">
        <v>19</v>
      </c>
      <c r="H839" t="s">
        <v>21</v>
      </c>
      <c r="I839" t="s">
        <v>19</v>
      </c>
      <c r="J839" t="s">
        <v>99</v>
      </c>
      <c r="K839" s="21" t="s">
        <v>607</v>
      </c>
      <c r="L839" s="5" t="s">
        <v>19</v>
      </c>
      <c r="M839" s="5" t="s">
        <v>19</v>
      </c>
      <c r="N839" s="5" t="str">
        <f>HYPERLINK("http://www.lghausys.co.kr/popup/rn/download/downloadPopup.jsp?from=plwindow&amp;uu=/upload/window/REPORT/LGH-TA18-279.pdf","0.969")</f>
        <v>0.969</v>
      </c>
      <c r="O839" s="5" t="s">
        <v>19</v>
      </c>
      <c r="P839" s="5" t="s">
        <v>19</v>
      </c>
      <c r="Q839" s="5" t="s">
        <v>19</v>
      </c>
      <c r="R839" s="5" t="s">
        <v>19</v>
      </c>
      <c r="S839" s="5" t="s">
        <v>19</v>
      </c>
      <c r="T839" s="5" t="s">
        <v>19</v>
      </c>
      <c r="U839" s="5" t="s">
        <v>19</v>
      </c>
      <c r="V839" s="5" t="s">
        <v>19</v>
      </c>
      <c r="W839" s="5" t="s">
        <v>75</v>
      </c>
      <c r="X839"/>
    </row>
    <row r="840" spans="1:24">
      <c r="A840" t="s">
        <v>60</v>
      </c>
      <c r="B840" t="s">
        <v>19</v>
      </c>
      <c r="C840" t="s">
        <v>14</v>
      </c>
      <c r="D840" t="s">
        <v>28</v>
      </c>
      <c r="E840" t="s">
        <v>19</v>
      </c>
      <c r="F840" t="s">
        <v>19</v>
      </c>
      <c r="G840" t="s">
        <v>19</v>
      </c>
      <c r="H840" t="s">
        <v>28</v>
      </c>
      <c r="I840" t="s">
        <v>19</v>
      </c>
      <c r="J840" t="s">
        <v>99</v>
      </c>
      <c r="K840" s="21" t="s">
        <v>607</v>
      </c>
      <c r="L840" s="5" t="s">
        <v>19</v>
      </c>
      <c r="M840" s="5" t="s">
        <v>19</v>
      </c>
      <c r="N840" s="5" t="s">
        <v>19</v>
      </c>
      <c r="O840" s="5" t="s">
        <v>19</v>
      </c>
      <c r="P840" s="5" t="s">
        <v>19</v>
      </c>
      <c r="Q840" s="5" t="s">
        <v>19</v>
      </c>
      <c r="R840" s="5" t="s">
        <v>19</v>
      </c>
      <c r="S840" s="5" t="s">
        <v>19</v>
      </c>
      <c r="T840" s="5" t="str">
        <f>HYPERLINK("http://www.lghausys.co.kr/popup/rn/download/downloadPopup.jsp?from=plwindow&amp;uu=/upload/window/REPORT/LGH-DA18-045.pdf","결로발생없음")</f>
        <v>결로발생없음</v>
      </c>
      <c r="U840" s="5" t="s">
        <v>19</v>
      </c>
      <c r="V840" s="5" t="s">
        <v>19</v>
      </c>
      <c r="W840" s="5" t="s">
        <v>75</v>
      </c>
      <c r="X840"/>
    </row>
    <row r="841" spans="1:24">
      <c r="A841" t="s">
        <v>73</v>
      </c>
      <c r="B841" t="s">
        <v>19</v>
      </c>
      <c r="C841" t="s">
        <v>20</v>
      </c>
      <c r="D841" t="s">
        <v>28</v>
      </c>
      <c r="E841" t="s">
        <v>19</v>
      </c>
      <c r="F841" t="s">
        <v>19</v>
      </c>
      <c r="G841" t="s">
        <v>19</v>
      </c>
      <c r="H841" t="s">
        <v>21</v>
      </c>
      <c r="I841" t="s">
        <v>19</v>
      </c>
      <c r="J841" t="s">
        <v>99</v>
      </c>
      <c r="K841" s="21" t="str">
        <f>IF(X841&lt;=0.9,HYPERLINK("http://www.lxhausys.co.kr/popup/rn/download/downloadPopup.jsp?from=plwindow&amp;uu=/upload/window/REPORT/LGH-TW18-151.pdf","1등급"),IF(X841&lt;=1.2,HYPERLINK("http://www.lxhausys.co.kr/popup/rn/download/downloadPopup.jsp?from=plwindow&amp;uu=/upload/window/REPORT/LGH-TW18-151.pdf","2등급"),IF(X841&lt;=1.8,HYPERLINK("http://www.lxhausys.co.kr/popup/rn/download/downloadPopup.jsp?from=plwindow&amp;uu=/upload/window/REPORT/LGH-TW18-151.pdf","3등급"),IF(X841&lt;=2.3,HYPERLINK("http://www.lxhausys.co.kr/popup/rn/download/downloadPopup.jsp?from=plwindow&amp;uu=/upload/window/REPORT/LGH-TW18-151.pdf","4등급"),IF(X841&lt;=2.8,HYPERLINK("http://www.lxhausys.co.kr/popup/rn/download/downloadPopup.jsp?from=plwindow&amp;uu=/upload/window/REPORT/LGH-TW18-151.pdf","5등급"),HYPERLINK("http://www.lxhausys.co.kr/popup/rn/download/downloadPopup.jsp?from=plwindow&amp;uu=/upload/window/REPORT/LGH-TW18-151.pdf","등급외"))))))</f>
        <v>1등급</v>
      </c>
      <c r="L841" s="5">
        <v>0.88800000000000001</v>
      </c>
      <c r="M841" s="5" t="s">
        <v>22</v>
      </c>
      <c r="N841" s="5" t="s">
        <v>607</v>
      </c>
      <c r="O841" s="5" t="s">
        <v>19</v>
      </c>
      <c r="P841" s="5" t="s">
        <v>19</v>
      </c>
      <c r="Q841" s="5" t="s">
        <v>19</v>
      </c>
      <c r="R841" s="5" t="s">
        <v>19</v>
      </c>
      <c r="S841" s="5" t="s">
        <v>19</v>
      </c>
      <c r="T841" s="5" t="s">
        <v>19</v>
      </c>
      <c r="U841" s="5" t="s">
        <v>19</v>
      </c>
      <c r="V841" s="5" t="s">
        <v>19</v>
      </c>
      <c r="W841" s="5" t="s">
        <v>19</v>
      </c>
      <c r="X841" s="19">
        <f>L841</f>
        <v>0.88800000000000001</v>
      </c>
    </row>
    <row r="842" spans="1:24">
      <c r="A842" t="s">
        <v>19</v>
      </c>
      <c r="B842" t="s">
        <v>48</v>
      </c>
      <c r="C842" t="s">
        <v>34</v>
      </c>
      <c r="D842" t="s">
        <v>81</v>
      </c>
      <c r="E842" t="s">
        <v>19</v>
      </c>
      <c r="F842" t="s">
        <v>19</v>
      </c>
      <c r="G842" t="s">
        <v>19</v>
      </c>
      <c r="H842" t="s">
        <v>21</v>
      </c>
      <c r="I842" t="s">
        <v>19</v>
      </c>
      <c r="J842" t="s">
        <v>74</v>
      </c>
      <c r="K842" s="21" t="s">
        <v>607</v>
      </c>
      <c r="L842" s="5" t="s">
        <v>19</v>
      </c>
      <c r="M842" s="5" t="s">
        <v>19</v>
      </c>
      <c r="N842" s="5" t="str">
        <f>HYPERLINK("http://www.lghausys.co.kr/popup/rn/download/downloadPopup.jsp?from=plwindow&amp;uu=/upload/window/REPORT/LGH-TA18-282.pdf","0.853")</f>
        <v>0.853</v>
      </c>
      <c r="O842" s="5" t="s">
        <v>19</v>
      </c>
      <c r="P842" s="5" t="s">
        <v>19</v>
      </c>
      <c r="Q842" s="5" t="s">
        <v>19</v>
      </c>
      <c r="R842" s="5" t="s">
        <v>19</v>
      </c>
      <c r="S842" s="5" t="s">
        <v>19</v>
      </c>
      <c r="T842" s="5" t="s">
        <v>19</v>
      </c>
      <c r="U842" s="5" t="s">
        <v>19</v>
      </c>
      <c r="V842" s="5" t="s">
        <v>19</v>
      </c>
      <c r="W842" s="5" t="s">
        <v>75</v>
      </c>
      <c r="X842"/>
    </row>
    <row r="843" spans="1:24">
      <c r="A843" t="s">
        <v>19</v>
      </c>
      <c r="B843" t="s">
        <v>48</v>
      </c>
      <c r="C843" t="s">
        <v>34</v>
      </c>
      <c r="D843" t="s">
        <v>41</v>
      </c>
      <c r="E843" t="s">
        <v>19</v>
      </c>
      <c r="F843" t="s">
        <v>19</v>
      </c>
      <c r="G843" t="s">
        <v>19</v>
      </c>
      <c r="H843" t="s">
        <v>81</v>
      </c>
      <c r="I843" t="s">
        <v>19</v>
      </c>
      <c r="J843" t="s">
        <v>74</v>
      </c>
      <c r="K843" s="21" t="s">
        <v>607</v>
      </c>
      <c r="L843" s="5" t="s">
        <v>19</v>
      </c>
      <c r="M843" s="5" t="s">
        <v>19</v>
      </c>
      <c r="N843" s="5" t="str">
        <f>HYPERLINK("http://www.lghausys.co.kr/popup/rn/download/downloadPopup.jsp?from=plwindow&amp;uu=/upload/window/REPORT/LGH-TA18-283.pdf","1.29")</f>
        <v>1.29</v>
      </c>
      <c r="O843" s="5" t="s">
        <v>19</v>
      </c>
      <c r="P843" s="5" t="s">
        <v>19</v>
      </c>
      <c r="Q843" s="5" t="s">
        <v>19</v>
      </c>
      <c r="R843" s="5" t="s">
        <v>19</v>
      </c>
      <c r="S843" s="5" t="s">
        <v>19</v>
      </c>
      <c r="T843" s="5" t="s">
        <v>19</v>
      </c>
      <c r="U843" s="5" t="s">
        <v>19</v>
      </c>
      <c r="V843" s="5" t="s">
        <v>19</v>
      </c>
      <c r="W843" s="5" t="s">
        <v>75</v>
      </c>
      <c r="X843"/>
    </row>
    <row r="844" spans="1:24">
      <c r="A844" t="s">
        <v>60</v>
      </c>
      <c r="B844" t="s">
        <v>19</v>
      </c>
      <c r="C844" t="s">
        <v>31</v>
      </c>
      <c r="D844" t="s">
        <v>28</v>
      </c>
      <c r="E844" t="s">
        <v>19</v>
      </c>
      <c r="F844" t="s">
        <v>19</v>
      </c>
      <c r="G844" t="s">
        <v>19</v>
      </c>
      <c r="H844" t="s">
        <v>28</v>
      </c>
      <c r="I844" t="s">
        <v>19</v>
      </c>
      <c r="J844" t="s">
        <v>99</v>
      </c>
      <c r="K844" s="21" t="s">
        <v>607</v>
      </c>
      <c r="L844" s="5" t="s">
        <v>19</v>
      </c>
      <c r="M844" s="5" t="s">
        <v>19</v>
      </c>
      <c r="N844" s="5" t="s">
        <v>19</v>
      </c>
      <c r="O844" s="5" t="str">
        <f>HYPERLINK("http://www.lghausys.co.kr/popup/rn/download/downloadPopup.jsp?from=plwindow&amp;uu=/upload/window/REPORT/LGH-WA18-285.pdf","1등급")</f>
        <v>1등급</v>
      </c>
      <c r="P844" s="5" t="s">
        <v>19</v>
      </c>
      <c r="Q844" s="5" t="s">
        <v>19</v>
      </c>
      <c r="R844" s="5" t="s">
        <v>19</v>
      </c>
      <c r="S844" s="5" t="s">
        <v>19</v>
      </c>
      <c r="T844" s="5" t="s">
        <v>19</v>
      </c>
      <c r="U844" s="5" t="s">
        <v>19</v>
      </c>
      <c r="V844" s="5" t="s">
        <v>19</v>
      </c>
      <c r="W844" s="5" t="s">
        <v>152</v>
      </c>
      <c r="X844"/>
    </row>
    <row r="845" spans="1:24">
      <c r="A845" t="s">
        <v>42</v>
      </c>
      <c r="B845" t="s">
        <v>43</v>
      </c>
      <c r="C845" t="s">
        <v>31</v>
      </c>
      <c r="D845" t="s">
        <v>126</v>
      </c>
      <c r="E845" t="s">
        <v>19</v>
      </c>
      <c r="F845" t="s">
        <v>19</v>
      </c>
      <c r="G845" t="s">
        <v>19</v>
      </c>
      <c r="H845" t="s">
        <v>19</v>
      </c>
      <c r="I845" t="s">
        <v>19</v>
      </c>
      <c r="J845" t="s">
        <v>97</v>
      </c>
      <c r="K845" s="21" t="s">
        <v>607</v>
      </c>
      <c r="L845" s="5" t="s">
        <v>19</v>
      </c>
      <c r="M845" s="5" t="s">
        <v>19</v>
      </c>
      <c r="N845" s="5" t="s">
        <v>19</v>
      </c>
      <c r="O845" s="5" t="str">
        <f>HYPERLINK("http://www.lghausys.co.kr/popup/rn/download/downloadPopup.jsp?from=plwindow&amp;uu=/upload/window/REPORT/LGH-WA18-286.pdf","1등급")</f>
        <v>1등급</v>
      </c>
      <c r="P845" s="5" t="s">
        <v>19</v>
      </c>
      <c r="Q845" s="5" t="s">
        <v>19</v>
      </c>
      <c r="R845" s="5" t="s">
        <v>19</v>
      </c>
      <c r="S845" s="5" t="s">
        <v>19</v>
      </c>
      <c r="T845" s="5" t="s">
        <v>19</v>
      </c>
      <c r="U845" s="5" t="s">
        <v>19</v>
      </c>
      <c r="V845" s="5" t="s">
        <v>19</v>
      </c>
      <c r="W845" s="5" t="s">
        <v>152</v>
      </c>
      <c r="X845"/>
    </row>
    <row r="846" spans="1:24">
      <c r="A846" t="s">
        <v>42</v>
      </c>
      <c r="B846" t="s">
        <v>43</v>
      </c>
      <c r="C846" t="s">
        <v>31</v>
      </c>
      <c r="D846" t="s">
        <v>89</v>
      </c>
      <c r="E846" t="s">
        <v>19</v>
      </c>
      <c r="F846" t="s">
        <v>19</v>
      </c>
      <c r="G846" t="s">
        <v>19</v>
      </c>
      <c r="H846" t="s">
        <v>19</v>
      </c>
      <c r="I846" t="s">
        <v>19</v>
      </c>
      <c r="J846" t="s">
        <v>74</v>
      </c>
      <c r="K846" s="21" t="s">
        <v>607</v>
      </c>
      <c r="L846" s="5" t="s">
        <v>19</v>
      </c>
      <c r="M846" s="5" t="s">
        <v>19</v>
      </c>
      <c r="N846" s="5" t="s">
        <v>19</v>
      </c>
      <c r="O846" s="5" t="str">
        <f>HYPERLINK("http://www.lghausys.co.kr/popup/rn/download/downloadPopup.jsp?from=plwindow&amp;uu=/upload/window/REPORT/LGH-WA19-002.pdf","1등급")</f>
        <v>1등급</v>
      </c>
      <c r="P846" s="5" t="s">
        <v>19</v>
      </c>
      <c r="Q846" s="5" t="s">
        <v>19</v>
      </c>
      <c r="R846" s="5" t="s">
        <v>19</v>
      </c>
      <c r="S846" s="5" t="s">
        <v>19</v>
      </c>
      <c r="T846" s="5" t="s">
        <v>19</v>
      </c>
      <c r="U846" s="5" t="s">
        <v>19</v>
      </c>
      <c r="V846" s="5" t="s">
        <v>19</v>
      </c>
      <c r="W846" s="5" t="s">
        <v>152</v>
      </c>
      <c r="X846"/>
    </row>
    <row r="847" spans="1:24">
      <c r="A847" t="s">
        <v>52</v>
      </c>
      <c r="B847" t="s">
        <v>19</v>
      </c>
      <c r="C847" t="s">
        <v>31</v>
      </c>
      <c r="D847" t="s">
        <v>89</v>
      </c>
      <c r="E847" t="s">
        <v>19</v>
      </c>
      <c r="F847" t="s">
        <v>19</v>
      </c>
      <c r="G847" t="s">
        <v>19</v>
      </c>
      <c r="H847" t="s">
        <v>28</v>
      </c>
      <c r="I847" t="s">
        <v>19</v>
      </c>
      <c r="J847" t="s">
        <v>145</v>
      </c>
      <c r="K847" s="21" t="s">
        <v>607</v>
      </c>
      <c r="L847" s="5" t="s">
        <v>19</v>
      </c>
      <c r="M847" s="5" t="s">
        <v>19</v>
      </c>
      <c r="N847" s="5" t="s">
        <v>19</v>
      </c>
      <c r="O847" s="5" t="str">
        <f>HYPERLINK("http://www.lghausys.co.kr/popup/rn/download/downloadPopup.jsp?from=plwindow&amp;uu=/upload/window/REPORT/LGH-WA19-003.pdf","1등급")</f>
        <v>1등급</v>
      </c>
      <c r="P847" s="5" t="s">
        <v>19</v>
      </c>
      <c r="Q847" s="5" t="s">
        <v>19</v>
      </c>
      <c r="R847" s="5" t="s">
        <v>19</v>
      </c>
      <c r="S847" s="5" t="s">
        <v>19</v>
      </c>
      <c r="T847" s="5" t="s">
        <v>19</v>
      </c>
      <c r="U847" s="5" t="s">
        <v>19</v>
      </c>
      <c r="V847" s="5" t="s">
        <v>19</v>
      </c>
      <c r="W847" s="5" t="s">
        <v>152</v>
      </c>
      <c r="X847"/>
    </row>
    <row r="848" spans="1:24">
      <c r="A848" t="s">
        <v>52</v>
      </c>
      <c r="B848" t="s">
        <v>19</v>
      </c>
      <c r="C848" t="s">
        <v>31</v>
      </c>
      <c r="D848" t="s">
        <v>25</v>
      </c>
      <c r="E848" t="s">
        <v>19</v>
      </c>
      <c r="F848" t="s">
        <v>19</v>
      </c>
      <c r="G848" t="s">
        <v>19</v>
      </c>
      <c r="H848" t="s">
        <v>64</v>
      </c>
      <c r="I848" t="s">
        <v>19</v>
      </c>
      <c r="J848" t="s">
        <v>74</v>
      </c>
      <c r="K848" s="21" t="s">
        <v>607</v>
      </c>
      <c r="L848" s="5" t="s">
        <v>19</v>
      </c>
      <c r="M848" s="5" t="s">
        <v>19</v>
      </c>
      <c r="N848" s="5" t="s">
        <v>19</v>
      </c>
      <c r="O848" s="5" t="str">
        <f>HYPERLINK("http://www.lghausys.co.kr/popup/rn/download/downloadPopup.jsp?from=plwindow&amp;uu=/upload/window/REPORT/LGH-WA19-004.pdf","1등급")</f>
        <v>1등급</v>
      </c>
      <c r="P848" s="5" t="s">
        <v>19</v>
      </c>
      <c r="Q848" s="5" t="s">
        <v>19</v>
      </c>
      <c r="R848" s="5" t="s">
        <v>19</v>
      </c>
      <c r="S848" s="5" t="s">
        <v>19</v>
      </c>
      <c r="T848" s="5" t="s">
        <v>19</v>
      </c>
      <c r="U848" s="5" t="s">
        <v>19</v>
      </c>
      <c r="V848" s="5" t="s">
        <v>19</v>
      </c>
      <c r="W848" s="5" t="s">
        <v>152</v>
      </c>
      <c r="X848"/>
    </row>
    <row r="849" spans="1:24">
      <c r="A849" t="s">
        <v>221</v>
      </c>
      <c r="B849" t="s">
        <v>19</v>
      </c>
      <c r="C849" t="s">
        <v>31</v>
      </c>
      <c r="D849" t="s">
        <v>28</v>
      </c>
      <c r="E849" t="s">
        <v>19</v>
      </c>
      <c r="F849" t="s">
        <v>19</v>
      </c>
      <c r="G849" t="s">
        <v>19</v>
      </c>
      <c r="H849" t="s">
        <v>19</v>
      </c>
      <c r="I849" t="s">
        <v>19</v>
      </c>
      <c r="J849" t="s">
        <v>74</v>
      </c>
      <c r="K849" s="21" t="s">
        <v>607</v>
      </c>
      <c r="L849" s="5" t="s">
        <v>19</v>
      </c>
      <c r="M849" s="5" t="s">
        <v>19</v>
      </c>
      <c r="N849" s="5" t="s">
        <v>19</v>
      </c>
      <c r="O849" s="5" t="s">
        <v>19</v>
      </c>
      <c r="P849" s="5" t="str">
        <f>HYPERLINK("http://www.lghausys.co.kr/popup/rn/download/downloadPopup.jsp?from=plwindow&amp;uu=/upload/window/REPORT/LGH-WA19-011.pdf","25등급")</f>
        <v>25등급</v>
      </c>
      <c r="Q849" s="5" t="str">
        <f>HYPERLINK("http://www.lghausys.co.kr/popup/rn/download/downloadPopup.jsp?from=plwindow&amp;uu=/upload/window/REPORT/LGH-WA19-011.pdf","300등급")</f>
        <v>300등급</v>
      </c>
      <c r="R849" s="5" t="s">
        <v>19</v>
      </c>
      <c r="S849" s="5" t="s">
        <v>19</v>
      </c>
      <c r="T849" s="5" t="s">
        <v>19</v>
      </c>
      <c r="U849" s="5" t="s">
        <v>19</v>
      </c>
      <c r="V849" s="5" t="s">
        <v>19</v>
      </c>
      <c r="W849" s="5" t="s">
        <v>152</v>
      </c>
      <c r="X849"/>
    </row>
    <row r="850" spans="1:24">
      <c r="A850" t="s">
        <v>222</v>
      </c>
      <c r="B850" t="s">
        <v>19</v>
      </c>
      <c r="C850" t="s">
        <v>31</v>
      </c>
      <c r="D850" t="s">
        <v>25</v>
      </c>
      <c r="E850" t="s">
        <v>96</v>
      </c>
      <c r="F850" t="s">
        <v>19</v>
      </c>
      <c r="G850" t="s">
        <v>19</v>
      </c>
      <c r="H850" t="s">
        <v>28</v>
      </c>
      <c r="I850" t="s">
        <v>19</v>
      </c>
      <c r="J850" t="s">
        <v>74</v>
      </c>
      <c r="K850" s="21" t="s">
        <v>607</v>
      </c>
      <c r="L850" s="5" t="s">
        <v>19</v>
      </c>
      <c r="M850" s="5" t="s">
        <v>19</v>
      </c>
      <c r="N850" s="5" t="s">
        <v>19</v>
      </c>
      <c r="O850" s="5" t="s">
        <v>19</v>
      </c>
      <c r="P850" s="5" t="str">
        <f>HYPERLINK("http://www.lghausys.co.kr/popup/rn/download/downloadPopup.jsp?from=plwindow&amp;uu=/upload/window/REPORT/LGH-WA19-012.pdf","50등급")</f>
        <v>50등급</v>
      </c>
      <c r="Q850" s="5" t="str">
        <f>HYPERLINK("http://www.lghausys.co.kr/popup/rn/download/downloadPopup.jsp?from=plwindow&amp;uu=/upload/window/REPORT/LGH-WA19-012.pdf","400등급")</f>
        <v>400등급</v>
      </c>
      <c r="R850" s="5" t="s">
        <v>19</v>
      </c>
      <c r="S850" s="5" t="s">
        <v>19</v>
      </c>
      <c r="T850" s="5" t="s">
        <v>19</v>
      </c>
      <c r="U850" s="5" t="s">
        <v>19</v>
      </c>
      <c r="V850" s="5" t="s">
        <v>19</v>
      </c>
      <c r="W850" s="5" t="s">
        <v>152</v>
      </c>
      <c r="X850"/>
    </row>
    <row r="851" spans="1:24">
      <c r="A851" t="s">
        <v>19</v>
      </c>
      <c r="B851" t="s">
        <v>230</v>
      </c>
      <c r="C851" t="s">
        <v>31</v>
      </c>
      <c r="D851" t="s">
        <v>25</v>
      </c>
      <c r="E851" t="s">
        <v>178</v>
      </c>
      <c r="F851" t="s">
        <v>19</v>
      </c>
      <c r="G851" t="s">
        <v>19</v>
      </c>
      <c r="H851" t="s">
        <v>64</v>
      </c>
      <c r="I851" t="s">
        <v>19</v>
      </c>
      <c r="J851" t="s">
        <v>74</v>
      </c>
      <c r="K851" s="21" t="s">
        <v>607</v>
      </c>
      <c r="L851" s="5" t="s">
        <v>19</v>
      </c>
      <c r="M851" s="5" t="s">
        <v>19</v>
      </c>
      <c r="N851" s="5" t="s">
        <v>19</v>
      </c>
      <c r="O851" s="5" t="s">
        <v>19</v>
      </c>
      <c r="P851" s="5" t="str">
        <f>HYPERLINK("http://www.lghausys.co.kr/popup/rn/download/downloadPopup.jsp?from=plwindow&amp;uu=/upload/window/REPORT/LGH-WA19-013.pdf","50등급")</f>
        <v>50등급</v>
      </c>
      <c r="Q851" s="5" t="str">
        <f>HYPERLINK("http://www.lghausys.co.kr/popup/rn/download/downloadPopup.jsp?from=plwindow&amp;uu=/upload/window/REPORT/LGH-WA19-013.pdf","400등급")</f>
        <v>400등급</v>
      </c>
      <c r="R851" s="5" t="s">
        <v>19</v>
      </c>
      <c r="S851" s="5" t="s">
        <v>19</v>
      </c>
      <c r="T851" s="5" t="s">
        <v>19</v>
      </c>
      <c r="U851" s="5" t="s">
        <v>19</v>
      </c>
      <c r="V851" s="5" t="s">
        <v>19</v>
      </c>
      <c r="W851" s="5" t="s">
        <v>152</v>
      </c>
      <c r="X851"/>
    </row>
    <row r="852" spans="1:24">
      <c r="A852" t="s">
        <v>95</v>
      </c>
      <c r="B852" t="s">
        <v>19</v>
      </c>
      <c r="C852" t="s">
        <v>31</v>
      </c>
      <c r="D852" t="s">
        <v>41</v>
      </c>
      <c r="E852" t="s">
        <v>178</v>
      </c>
      <c r="F852" t="s">
        <v>19</v>
      </c>
      <c r="G852" t="s">
        <v>19</v>
      </c>
      <c r="H852" t="s">
        <v>19</v>
      </c>
      <c r="I852" t="s">
        <v>19</v>
      </c>
      <c r="J852" t="s">
        <v>97</v>
      </c>
      <c r="K852" s="21" t="s">
        <v>607</v>
      </c>
      <c r="L852" s="5" t="s">
        <v>19</v>
      </c>
      <c r="M852" s="5" t="s">
        <v>19</v>
      </c>
      <c r="N852" s="5" t="s">
        <v>19</v>
      </c>
      <c r="O852" s="5" t="str">
        <f>HYPERLINK("http://www.lghausys.co.kr/popup/rn/download/downloadPopup.jsp?from=plwindow&amp;uu=/upload/window/REPORT/LGH-WA19-014.pdf","1등급")</f>
        <v>1등급</v>
      </c>
      <c r="P852" s="5" t="str">
        <f>HYPERLINK("http://www.lghausys.co.kr/popup/rn/download/downloadPopup.jsp?from=plwindow&amp;uu=/upload/window/REPORT/LGH-WA19-014.pdf","35등급")</f>
        <v>35등급</v>
      </c>
      <c r="Q852" s="5" t="str">
        <f>HYPERLINK("http://www.lghausys.co.kr/popup/rn/download/downloadPopup.jsp?from=plwindow&amp;uu=/upload/window/REPORT/LGH-WA19-014.pdf","240등급")</f>
        <v>240등급</v>
      </c>
      <c r="R852" s="5" t="s">
        <v>19</v>
      </c>
      <c r="S852" s="5" t="s">
        <v>19</v>
      </c>
      <c r="T852" s="5" t="s">
        <v>19</v>
      </c>
      <c r="U852" s="5" t="s">
        <v>19</v>
      </c>
      <c r="V852" s="5" t="s">
        <v>19</v>
      </c>
      <c r="W852" s="5" t="s">
        <v>152</v>
      </c>
      <c r="X852"/>
    </row>
    <row r="853" spans="1:24">
      <c r="A853" t="s">
        <v>55</v>
      </c>
      <c r="B853" t="s">
        <v>19</v>
      </c>
      <c r="C853" t="s">
        <v>20</v>
      </c>
      <c r="D853" t="s">
        <v>231</v>
      </c>
      <c r="E853" t="s">
        <v>19</v>
      </c>
      <c r="F853" t="s">
        <v>19</v>
      </c>
      <c r="G853" t="s">
        <v>19</v>
      </c>
      <c r="H853" t="s">
        <v>19</v>
      </c>
      <c r="I853" t="s">
        <v>19</v>
      </c>
      <c r="J853" t="s">
        <v>184</v>
      </c>
      <c r="K853" s="21" t="str">
        <f>IF(X853&lt;=0.9,HYPERLINK("http://www.lxhausys.co.kr/popup/rn/download/downloadPopup.jsp?from=plwindow&amp;uu=/upload/window/REPORT/LGH-TW19-001.pdf","1등급"),IF(X853&lt;=1.2,HYPERLINK("http://www.lxhausys.co.kr/popup/rn/download/downloadPopup.jsp?from=plwindow&amp;uu=/upload/window/REPORT/LGH-TW19-001.pdf","2등급"),IF(X853&lt;=1.8,HYPERLINK("http://www.lxhausys.co.kr/popup/rn/download/downloadPopup.jsp?from=plwindow&amp;uu=/upload/window/REPORT/LGH-TW19-001.pdf","3등급"),IF(X853&lt;=2.3,HYPERLINK("http://www.lxhausys.co.kr/popup/rn/download/downloadPopup.jsp?from=plwindow&amp;uu=/upload/window/REPORT/LGH-TW19-001.pdf","4등급"),IF(X853&lt;=2.8,HYPERLINK("http://www.lxhausys.co.kr/popup/rn/download/downloadPopup.jsp?from=plwindow&amp;uu=/upload/window/REPORT/LGH-TW19-001.pdf","5등급"),HYPERLINK("http://www.lxhausys.co.kr/popup/rn/download/downloadPopup.jsp?from=plwindow&amp;uu=/upload/window/REPORT/LGH-TW19-001.pdf","등급외"))))))</f>
        <v>3등급</v>
      </c>
      <c r="L853" s="5">
        <v>1.29</v>
      </c>
      <c r="M853" s="5" t="s">
        <v>22</v>
      </c>
      <c r="N853" s="5" t="s">
        <v>607</v>
      </c>
      <c r="O853" s="5" t="s">
        <v>19</v>
      </c>
      <c r="P853" s="5" t="s">
        <v>19</v>
      </c>
      <c r="Q853" s="5" t="s">
        <v>19</v>
      </c>
      <c r="R853" s="5" t="s">
        <v>19</v>
      </c>
      <c r="S853" s="5" t="s">
        <v>19</v>
      </c>
      <c r="T853" s="5" t="s">
        <v>19</v>
      </c>
      <c r="U853" s="5" t="s">
        <v>19</v>
      </c>
      <c r="V853" s="5" t="s">
        <v>19</v>
      </c>
      <c r="W853" s="5" t="s">
        <v>19</v>
      </c>
      <c r="X853" s="19">
        <f>L853</f>
        <v>1.29</v>
      </c>
    </row>
    <row r="854" spans="1:24">
      <c r="A854" t="s">
        <v>125</v>
      </c>
      <c r="B854" t="s">
        <v>19</v>
      </c>
      <c r="C854" t="s">
        <v>20</v>
      </c>
      <c r="D854" t="s">
        <v>25</v>
      </c>
      <c r="E854" t="s">
        <v>19</v>
      </c>
      <c r="F854" t="s">
        <v>19</v>
      </c>
      <c r="G854" t="s">
        <v>19</v>
      </c>
      <c r="H854" t="s">
        <v>19</v>
      </c>
      <c r="I854" t="s">
        <v>19</v>
      </c>
      <c r="J854" t="s">
        <v>99</v>
      </c>
      <c r="K854" s="21" t="str">
        <f>IF(X854&lt;=0.9,HYPERLINK("http://www.lxhausys.co.kr/popup/rn/download/downloadPopup.jsp?from=plwindow&amp;uu=/upload/window/REPORT/LGH-TW19-002.pdf","1등급"),IF(X854&lt;=1.2,HYPERLINK("http://www.lxhausys.co.kr/popup/rn/download/downloadPopup.jsp?from=plwindow&amp;uu=/upload/window/REPORT/LGH-TW19-002.pdf","2등급"),IF(X854&lt;=1.8,HYPERLINK("http://www.lxhausys.co.kr/popup/rn/download/downloadPopup.jsp?from=plwindow&amp;uu=/upload/window/REPORT/LGH-TW19-002.pdf","3등급"),IF(X854&lt;=2.3,HYPERLINK("http://www.lxhausys.co.kr/popup/rn/download/downloadPopup.jsp?from=plwindow&amp;uu=/upload/window/REPORT/LGH-TW19-002.pdf","4등급"),IF(X854&lt;=2.8,HYPERLINK("http://www.lxhausys.co.kr/popup/rn/download/downloadPopup.jsp?from=plwindow&amp;uu=/upload/window/REPORT/LGH-TW19-002.pdf","5등급"),HYPERLINK("http://www.lxhausys.co.kr/popup/rn/download/downloadPopup.jsp?from=plwindow&amp;uu=/upload/window/REPORT/LGH-TW19-002.pdf","등급외"))))))</f>
        <v>등급외</v>
      </c>
      <c r="L854" s="5">
        <v>3.8170000000000002</v>
      </c>
      <c r="M854" s="5" t="s">
        <v>103</v>
      </c>
      <c r="N854" s="5" t="s">
        <v>607</v>
      </c>
      <c r="O854" s="5" t="s">
        <v>19</v>
      </c>
      <c r="P854" s="5" t="s">
        <v>19</v>
      </c>
      <c r="Q854" s="5" t="s">
        <v>19</v>
      </c>
      <c r="R854" s="5" t="s">
        <v>19</v>
      </c>
      <c r="S854" s="5" t="s">
        <v>19</v>
      </c>
      <c r="T854" s="5" t="s">
        <v>19</v>
      </c>
      <c r="U854" s="5" t="s">
        <v>19</v>
      </c>
      <c r="V854" s="5" t="s">
        <v>19</v>
      </c>
      <c r="W854" s="5" t="s">
        <v>19</v>
      </c>
      <c r="X854" s="19">
        <f>L854</f>
        <v>3.8170000000000002</v>
      </c>
    </row>
    <row r="855" spans="1:24">
      <c r="A855" t="s">
        <v>136</v>
      </c>
      <c r="B855" t="s">
        <v>19</v>
      </c>
      <c r="C855" t="s">
        <v>31</v>
      </c>
      <c r="D855" t="s">
        <v>28</v>
      </c>
      <c r="E855" t="s">
        <v>178</v>
      </c>
      <c r="F855" t="s">
        <v>19</v>
      </c>
      <c r="G855" t="s">
        <v>19</v>
      </c>
      <c r="H855" t="s">
        <v>19</v>
      </c>
      <c r="I855" t="s">
        <v>19</v>
      </c>
      <c r="J855" t="s">
        <v>74</v>
      </c>
      <c r="K855" s="21" t="s">
        <v>607</v>
      </c>
      <c r="L855" s="5" t="s">
        <v>19</v>
      </c>
      <c r="M855" s="5" t="s">
        <v>19</v>
      </c>
      <c r="N855" s="5" t="s">
        <v>19</v>
      </c>
      <c r="O855" s="5" t="str">
        <f>HYPERLINK("http://www.lghausys.co.kr/popup/rn/download/downloadPopup.jsp?from=plwindow&amp;uu=/upload/window/REPORT/LGH-WA19-020.pdf","2등급")</f>
        <v>2등급</v>
      </c>
      <c r="P855" s="5" t="s">
        <v>19</v>
      </c>
      <c r="Q855" s="5" t="s">
        <v>19</v>
      </c>
      <c r="R855" s="5" t="s">
        <v>19</v>
      </c>
      <c r="S855" s="5" t="s">
        <v>19</v>
      </c>
      <c r="T855" s="5" t="s">
        <v>19</v>
      </c>
      <c r="U855" s="5" t="s">
        <v>19</v>
      </c>
      <c r="V855" s="5" t="s">
        <v>19</v>
      </c>
      <c r="W855" s="5" t="s">
        <v>152</v>
      </c>
      <c r="X855"/>
    </row>
    <row r="856" spans="1:24">
      <c r="A856" t="s">
        <v>61</v>
      </c>
      <c r="B856" t="s">
        <v>19</v>
      </c>
      <c r="C856" t="s">
        <v>31</v>
      </c>
      <c r="D856" t="s">
        <v>21</v>
      </c>
      <c r="E856" t="s">
        <v>19</v>
      </c>
      <c r="F856" t="s">
        <v>19</v>
      </c>
      <c r="G856" t="s">
        <v>19</v>
      </c>
      <c r="H856" t="s">
        <v>19</v>
      </c>
      <c r="I856" t="s">
        <v>19</v>
      </c>
      <c r="J856" t="s">
        <v>99</v>
      </c>
      <c r="K856" s="21" t="s">
        <v>607</v>
      </c>
      <c r="L856" s="5" t="s">
        <v>19</v>
      </c>
      <c r="M856" s="5" t="s">
        <v>19</v>
      </c>
      <c r="N856" s="5" t="s">
        <v>19</v>
      </c>
      <c r="O856" s="5" t="str">
        <f>HYPERLINK("http://www.lghausys.co.kr/popup/rn/download/downloadPopup.jsp?from=plwindow&amp;uu=/upload/window/REPORT/LGH-WA19-021.pdf","2등급")</f>
        <v>2등급</v>
      </c>
      <c r="P856" s="5" t="s">
        <v>19</v>
      </c>
      <c r="Q856" s="5" t="s">
        <v>19</v>
      </c>
      <c r="R856" s="5" t="s">
        <v>19</v>
      </c>
      <c r="S856" s="5" t="s">
        <v>19</v>
      </c>
      <c r="T856" s="5" t="s">
        <v>19</v>
      </c>
      <c r="U856" s="5" t="s">
        <v>19</v>
      </c>
      <c r="V856" s="5" t="s">
        <v>19</v>
      </c>
      <c r="W856" s="5" t="s">
        <v>152</v>
      </c>
      <c r="X856"/>
    </row>
    <row r="857" spans="1:24">
      <c r="A857" t="s">
        <v>55</v>
      </c>
      <c r="B857" t="s">
        <v>19</v>
      </c>
      <c r="C857" t="s">
        <v>31</v>
      </c>
      <c r="D857" t="s">
        <v>232</v>
      </c>
      <c r="E857" t="s">
        <v>19</v>
      </c>
      <c r="F857" t="s">
        <v>19</v>
      </c>
      <c r="G857" t="s">
        <v>19</v>
      </c>
      <c r="H857" t="s">
        <v>19</v>
      </c>
      <c r="I857" t="s">
        <v>19</v>
      </c>
      <c r="J857" t="s">
        <v>74</v>
      </c>
      <c r="K857" s="21" t="s">
        <v>607</v>
      </c>
      <c r="L857" s="5" t="s">
        <v>19</v>
      </c>
      <c r="M857" s="5" t="s">
        <v>19</v>
      </c>
      <c r="N857" s="5" t="s">
        <v>19</v>
      </c>
      <c r="O857" s="5" t="str">
        <f>HYPERLINK("http://www.lghausys.co.kr/popup/rn/download/downloadPopup.jsp?from=plwindow&amp;uu=/upload/window/REPORT/LGH-WA19-028.pdf","2등급")</f>
        <v>2등급</v>
      </c>
      <c r="P857" s="5" t="s">
        <v>19</v>
      </c>
      <c r="Q857" s="5" t="s">
        <v>19</v>
      </c>
      <c r="R857" s="5" t="s">
        <v>19</v>
      </c>
      <c r="S857" s="5" t="s">
        <v>19</v>
      </c>
      <c r="T857" s="5" t="s">
        <v>19</v>
      </c>
      <c r="U857" s="5" t="s">
        <v>19</v>
      </c>
      <c r="V857" s="5" t="s">
        <v>19</v>
      </c>
      <c r="W857" s="5" t="s">
        <v>152</v>
      </c>
      <c r="X857"/>
    </row>
    <row r="858" spans="1:24">
      <c r="A858" t="s">
        <v>27</v>
      </c>
      <c r="B858" t="s">
        <v>19</v>
      </c>
      <c r="C858" t="s">
        <v>31</v>
      </c>
      <c r="D858" t="s">
        <v>28</v>
      </c>
      <c r="E858" t="s">
        <v>233</v>
      </c>
      <c r="F858" t="s">
        <v>19</v>
      </c>
      <c r="G858" t="s">
        <v>19</v>
      </c>
      <c r="H858" t="s">
        <v>28</v>
      </c>
      <c r="I858" t="s">
        <v>19</v>
      </c>
      <c r="J858" t="s">
        <v>74</v>
      </c>
      <c r="K858" s="21" t="s">
        <v>607</v>
      </c>
      <c r="L858" s="5" t="s">
        <v>19</v>
      </c>
      <c r="M858" s="5" t="s">
        <v>19</v>
      </c>
      <c r="N858" s="5" t="s">
        <v>19</v>
      </c>
      <c r="O858" s="5" t="str">
        <f>HYPERLINK("http://www.lghausys.co.kr/popup/rn/download/downloadPopup.jsp?from=plwindow&amp;uu=/upload/window/REPORT/LGH-WA19-029.pdf","1등급")</f>
        <v>1등급</v>
      </c>
      <c r="P858" s="5" t="s">
        <v>19</v>
      </c>
      <c r="Q858" s="5" t="s">
        <v>19</v>
      </c>
      <c r="R858" s="5" t="s">
        <v>19</v>
      </c>
      <c r="S858" s="5" t="s">
        <v>19</v>
      </c>
      <c r="T858" s="5" t="s">
        <v>19</v>
      </c>
      <c r="U858" s="5" t="s">
        <v>19</v>
      </c>
      <c r="V858" s="5" t="s">
        <v>19</v>
      </c>
      <c r="W858" s="5" t="s">
        <v>152</v>
      </c>
      <c r="X858"/>
    </row>
    <row r="859" spans="1:24">
      <c r="A859" t="s">
        <v>42</v>
      </c>
      <c r="B859" t="s">
        <v>43</v>
      </c>
      <c r="C859" t="s">
        <v>31</v>
      </c>
      <c r="D859" t="s">
        <v>234</v>
      </c>
      <c r="E859" t="s">
        <v>19</v>
      </c>
      <c r="F859" t="s">
        <v>19</v>
      </c>
      <c r="G859" t="s">
        <v>19</v>
      </c>
      <c r="H859" t="s">
        <v>19</v>
      </c>
      <c r="I859" t="s">
        <v>19</v>
      </c>
      <c r="J859" t="s">
        <v>19</v>
      </c>
      <c r="K859" s="21" t="s">
        <v>607</v>
      </c>
      <c r="L859" s="5" t="s">
        <v>19</v>
      </c>
      <c r="M859" s="5" t="s">
        <v>19</v>
      </c>
      <c r="N859" s="5" t="s">
        <v>19</v>
      </c>
      <c r="O859" s="5" t="str">
        <f>HYPERLINK("http://www.lghausys.co.kr/popup/rn/download/downloadPopup.jsp?from=plwindow&amp;uu=/upload/window/REPORT/LGH-WA19-030.pdf","1등급")</f>
        <v>1등급</v>
      </c>
      <c r="P859" s="5" t="s">
        <v>19</v>
      </c>
      <c r="Q859" s="5" t="s">
        <v>19</v>
      </c>
      <c r="R859" s="5" t="s">
        <v>19</v>
      </c>
      <c r="S859" s="5" t="s">
        <v>19</v>
      </c>
      <c r="T859" s="5" t="s">
        <v>19</v>
      </c>
      <c r="U859" s="5" t="s">
        <v>19</v>
      </c>
      <c r="V859" s="5" t="s">
        <v>19</v>
      </c>
      <c r="W859" s="5" t="s">
        <v>152</v>
      </c>
      <c r="X859"/>
    </row>
    <row r="860" spans="1:24">
      <c r="A860" t="s">
        <v>42</v>
      </c>
      <c r="B860" t="s">
        <v>43</v>
      </c>
      <c r="C860" t="s">
        <v>31</v>
      </c>
      <c r="D860" t="s">
        <v>21</v>
      </c>
      <c r="E860" t="s">
        <v>19</v>
      </c>
      <c r="F860" t="s">
        <v>19</v>
      </c>
      <c r="G860" t="s">
        <v>19</v>
      </c>
      <c r="H860" t="s">
        <v>19</v>
      </c>
      <c r="I860" t="s">
        <v>19</v>
      </c>
      <c r="J860" t="s">
        <v>74</v>
      </c>
      <c r="K860" s="21" t="s">
        <v>607</v>
      </c>
      <c r="L860" s="5" t="s">
        <v>19</v>
      </c>
      <c r="M860" s="5" t="s">
        <v>19</v>
      </c>
      <c r="N860" s="5" t="s">
        <v>19</v>
      </c>
      <c r="O860" s="5" t="str">
        <f>HYPERLINK("http://www.lghausys.co.kr/popup/rn/download/downloadPopup.jsp?from=plwindow&amp;uu=/upload/window/REPORT/LGH-WA19-031.pdf","1등급")</f>
        <v>1등급</v>
      </c>
      <c r="P860" s="5" t="s">
        <v>19</v>
      </c>
      <c r="Q860" s="5" t="s">
        <v>19</v>
      </c>
      <c r="R860" s="5" t="s">
        <v>19</v>
      </c>
      <c r="S860" s="5" t="s">
        <v>19</v>
      </c>
      <c r="T860" s="5" t="s">
        <v>19</v>
      </c>
      <c r="U860" s="5" t="s">
        <v>19</v>
      </c>
      <c r="V860" s="5" t="s">
        <v>19</v>
      </c>
      <c r="W860" s="5" t="s">
        <v>152</v>
      </c>
      <c r="X860"/>
    </row>
    <row r="861" spans="1:24">
      <c r="A861" t="s">
        <v>55</v>
      </c>
      <c r="B861" t="s">
        <v>19</v>
      </c>
      <c r="C861" t="s">
        <v>34</v>
      </c>
      <c r="D861" t="s">
        <v>232</v>
      </c>
      <c r="E861" t="s">
        <v>19</v>
      </c>
      <c r="F861" t="s">
        <v>19</v>
      </c>
      <c r="G861" t="s">
        <v>19</v>
      </c>
      <c r="H861" t="s">
        <v>19</v>
      </c>
      <c r="I861" t="s">
        <v>19</v>
      </c>
      <c r="J861" t="s">
        <v>74</v>
      </c>
      <c r="K861" s="21" t="s">
        <v>607</v>
      </c>
      <c r="L861" s="5" t="s">
        <v>19</v>
      </c>
      <c r="M861" s="5" t="s">
        <v>19</v>
      </c>
      <c r="N861" s="5" t="str">
        <f>HYPERLINK("http://www.lghausys.co.kr/popup/rn/download/downloadPopup.jsp?from=plwindow&amp;uu=/upload/window/REPORT/LGH-TA19-011.pdf","1.98")</f>
        <v>1.98</v>
      </c>
      <c r="O861" s="5" t="s">
        <v>19</v>
      </c>
      <c r="P861" s="5" t="s">
        <v>19</v>
      </c>
      <c r="Q861" s="5" t="s">
        <v>19</v>
      </c>
      <c r="R861" s="5" t="s">
        <v>19</v>
      </c>
      <c r="S861" s="5" t="s">
        <v>19</v>
      </c>
      <c r="T861" s="5" t="s">
        <v>19</v>
      </c>
      <c r="U861" s="5" t="s">
        <v>19</v>
      </c>
      <c r="V861" s="5" t="s">
        <v>19</v>
      </c>
      <c r="W861" s="5" t="s">
        <v>75</v>
      </c>
      <c r="X861"/>
    </row>
    <row r="862" spans="1:24">
      <c r="A862" t="s">
        <v>42</v>
      </c>
      <c r="B862" t="s">
        <v>43</v>
      </c>
      <c r="C862" t="s">
        <v>34</v>
      </c>
      <c r="D862" t="s">
        <v>21</v>
      </c>
      <c r="E862" t="s">
        <v>19</v>
      </c>
      <c r="F862" t="s">
        <v>19</v>
      </c>
      <c r="G862" t="s">
        <v>19</v>
      </c>
      <c r="H862" t="s">
        <v>19</v>
      </c>
      <c r="I862" t="s">
        <v>19</v>
      </c>
      <c r="J862" t="s">
        <v>74</v>
      </c>
      <c r="K862" s="21" t="s">
        <v>607</v>
      </c>
      <c r="L862" s="5" t="s">
        <v>19</v>
      </c>
      <c r="M862" s="5" t="s">
        <v>19</v>
      </c>
      <c r="N862" s="5" t="str">
        <f>HYPERLINK("http://www.lghausys.co.kr/popup/rn/download/downloadPopup.jsp?from=plwindow&amp;uu=/upload/window/REPORT/LGH-TA19-012.pdf","1.934")</f>
        <v>1.934</v>
      </c>
      <c r="O862" s="5" t="s">
        <v>19</v>
      </c>
      <c r="P862" s="5" t="s">
        <v>19</v>
      </c>
      <c r="Q862" s="5" t="s">
        <v>19</v>
      </c>
      <c r="R862" s="5" t="s">
        <v>19</v>
      </c>
      <c r="S862" s="5" t="s">
        <v>19</v>
      </c>
      <c r="T862" s="5" t="s">
        <v>19</v>
      </c>
      <c r="U862" s="5" t="s">
        <v>19</v>
      </c>
      <c r="V862" s="5" t="s">
        <v>19</v>
      </c>
      <c r="W862" s="5" t="s">
        <v>75</v>
      </c>
      <c r="X862"/>
    </row>
    <row r="863" spans="1:24">
      <c r="A863" t="s">
        <v>42</v>
      </c>
      <c r="B863" t="s">
        <v>43</v>
      </c>
      <c r="C863" t="s">
        <v>34</v>
      </c>
      <c r="D863" t="s">
        <v>234</v>
      </c>
      <c r="E863" t="s">
        <v>19</v>
      </c>
      <c r="F863" t="s">
        <v>19</v>
      </c>
      <c r="G863" t="s">
        <v>19</v>
      </c>
      <c r="H863" t="s">
        <v>19</v>
      </c>
      <c r="I863" t="s">
        <v>19</v>
      </c>
      <c r="J863" t="s">
        <v>19</v>
      </c>
      <c r="K863" s="21" t="s">
        <v>607</v>
      </c>
      <c r="L863" s="5" t="s">
        <v>19</v>
      </c>
      <c r="M863" s="5" t="s">
        <v>19</v>
      </c>
      <c r="N863" s="5" t="str">
        <f>HYPERLINK("http://www.lghausys.co.kr/popup/rn/download/downloadPopup.jsp?from=plwindow&amp;uu=/upload/window/REPORT/LGH-TA19-013.pdf","1.316")</f>
        <v>1.316</v>
      </c>
      <c r="O863" s="5" t="s">
        <v>19</v>
      </c>
      <c r="P863" s="5" t="s">
        <v>19</v>
      </c>
      <c r="Q863" s="5" t="s">
        <v>19</v>
      </c>
      <c r="R863" s="5" t="s">
        <v>19</v>
      </c>
      <c r="S863" s="5" t="s">
        <v>19</v>
      </c>
      <c r="T863" s="5" t="s">
        <v>19</v>
      </c>
      <c r="U863" s="5" t="s">
        <v>19</v>
      </c>
      <c r="V863" s="5" t="s">
        <v>19</v>
      </c>
      <c r="W863" s="5" t="s">
        <v>75</v>
      </c>
      <c r="X863"/>
    </row>
    <row r="864" spans="1:24">
      <c r="A864" t="s">
        <v>52</v>
      </c>
      <c r="B864" t="s">
        <v>19</v>
      </c>
      <c r="C864" t="s">
        <v>14</v>
      </c>
      <c r="D864" t="s">
        <v>89</v>
      </c>
      <c r="E864" t="s">
        <v>19</v>
      </c>
      <c r="F864" t="s">
        <v>19</v>
      </c>
      <c r="G864" t="s">
        <v>19</v>
      </c>
      <c r="H864" t="s">
        <v>28</v>
      </c>
      <c r="I864" t="s">
        <v>19</v>
      </c>
      <c r="J864" t="s">
        <v>145</v>
      </c>
      <c r="K864" s="21" t="s">
        <v>607</v>
      </c>
      <c r="L864" s="5" t="s">
        <v>19</v>
      </c>
      <c r="M864" s="5" t="s">
        <v>19</v>
      </c>
      <c r="N864" s="5" t="s">
        <v>19</v>
      </c>
      <c r="O864" s="5" t="s">
        <v>19</v>
      </c>
      <c r="P864" s="5" t="s">
        <v>19</v>
      </c>
      <c r="Q864" s="5" t="s">
        <v>19</v>
      </c>
      <c r="R864" s="5" t="s">
        <v>19</v>
      </c>
      <c r="S864" s="5" t="s">
        <v>19</v>
      </c>
      <c r="T864" s="5" t="str">
        <f>HYPERLINK("http://www.lghausys.co.kr/popup/rn/download/downloadPopup.jsp?from=plwindow&amp;uu=/upload/window/REPORT/LGH-DA19-005.pdf","결로발생없음")</f>
        <v>결로발생없음</v>
      </c>
      <c r="U864" s="5" t="s">
        <v>19</v>
      </c>
      <c r="V864" s="5" t="s">
        <v>19</v>
      </c>
      <c r="W864" s="5" t="s">
        <v>75</v>
      </c>
      <c r="X864"/>
    </row>
    <row r="865" spans="1:24">
      <c r="A865" t="s">
        <v>52</v>
      </c>
      <c r="B865" t="s">
        <v>19</v>
      </c>
      <c r="C865" t="s">
        <v>14</v>
      </c>
      <c r="D865" t="s">
        <v>25</v>
      </c>
      <c r="E865" t="s">
        <v>19</v>
      </c>
      <c r="F865" t="s">
        <v>19</v>
      </c>
      <c r="G865" t="s">
        <v>19</v>
      </c>
      <c r="H865" t="s">
        <v>64</v>
      </c>
      <c r="I865" t="s">
        <v>19</v>
      </c>
      <c r="J865" t="s">
        <v>74</v>
      </c>
      <c r="K865" s="21" t="s">
        <v>607</v>
      </c>
      <c r="L865" s="5" t="s">
        <v>19</v>
      </c>
      <c r="M865" s="5" t="s">
        <v>19</v>
      </c>
      <c r="N865" s="5" t="s">
        <v>19</v>
      </c>
      <c r="O865" s="5" t="s">
        <v>19</v>
      </c>
      <c r="P865" s="5" t="s">
        <v>19</v>
      </c>
      <c r="Q865" s="5" t="s">
        <v>19</v>
      </c>
      <c r="R865" s="5" t="s">
        <v>19</v>
      </c>
      <c r="S865" s="5" t="s">
        <v>19</v>
      </c>
      <c r="T865" s="5" t="str">
        <f>HYPERLINK("http://www.lghausys.co.kr/popup/rn/download/downloadPopup.jsp?from=plwindow&amp;uu=/upload/window/REPORT/LGH-DA19-006.pdf","결로발생없음")</f>
        <v>결로발생없음</v>
      </c>
      <c r="U865" s="5" t="s">
        <v>19</v>
      </c>
      <c r="V865" s="5" t="s">
        <v>19</v>
      </c>
      <c r="W865" s="5" t="s">
        <v>75</v>
      </c>
      <c r="X865"/>
    </row>
    <row r="866" spans="1:24">
      <c r="A866" t="s">
        <v>19</v>
      </c>
      <c r="B866" t="s">
        <v>48</v>
      </c>
      <c r="C866" t="s">
        <v>34</v>
      </c>
      <c r="D866" t="s">
        <v>21</v>
      </c>
      <c r="E866" t="s">
        <v>19</v>
      </c>
      <c r="F866" t="s">
        <v>19</v>
      </c>
      <c r="G866" t="s">
        <v>19</v>
      </c>
      <c r="H866" t="s">
        <v>25</v>
      </c>
      <c r="I866" t="s">
        <v>19</v>
      </c>
      <c r="J866" t="s">
        <v>74</v>
      </c>
      <c r="K866" s="21" t="s">
        <v>607</v>
      </c>
      <c r="L866" s="5" t="s">
        <v>19</v>
      </c>
      <c r="M866" s="5" t="s">
        <v>19</v>
      </c>
      <c r="N866" s="5" t="str">
        <f>HYPERLINK("http://www.lghausys.co.kr/popup/rn/download/downloadPopup.jsp?from=plwindow&amp;uu=/upload/window/REPORT/LGH-TA19-022.pdf","0.955")</f>
        <v>0.955</v>
      </c>
      <c r="O866" s="5" t="s">
        <v>19</v>
      </c>
      <c r="P866" s="5" t="s">
        <v>19</v>
      </c>
      <c r="Q866" s="5" t="s">
        <v>19</v>
      </c>
      <c r="R866" s="5" t="s">
        <v>19</v>
      </c>
      <c r="S866" s="5" t="s">
        <v>19</v>
      </c>
      <c r="T866" s="5" t="s">
        <v>19</v>
      </c>
      <c r="U866" s="5" t="s">
        <v>19</v>
      </c>
      <c r="V866" s="5" t="s">
        <v>19</v>
      </c>
      <c r="W866" s="5" t="s">
        <v>75</v>
      </c>
      <c r="X866"/>
    </row>
    <row r="867" spans="1:24">
      <c r="A867" t="s">
        <v>52</v>
      </c>
      <c r="B867" t="s">
        <v>19</v>
      </c>
      <c r="C867" t="s">
        <v>31</v>
      </c>
      <c r="D867" t="s">
        <v>25</v>
      </c>
      <c r="E867" t="s">
        <v>19</v>
      </c>
      <c r="F867" t="s">
        <v>19</v>
      </c>
      <c r="G867" t="s">
        <v>19</v>
      </c>
      <c r="H867" t="s">
        <v>64</v>
      </c>
      <c r="I867" t="s">
        <v>19</v>
      </c>
      <c r="J867" t="s">
        <v>145</v>
      </c>
      <c r="K867" s="21" t="s">
        <v>607</v>
      </c>
      <c r="L867" s="5" t="s">
        <v>19</v>
      </c>
      <c r="M867" s="5" t="s">
        <v>19</v>
      </c>
      <c r="N867" s="5" t="s">
        <v>19</v>
      </c>
      <c r="O867" s="5" t="str">
        <f>HYPERLINK("http://www.lghausys.co.kr/popup/rn/download/downloadPopup.jsp?from=plwindow&amp;uu=/upload/window/REPORT/LGH-WA19-035.pdf","1등급")</f>
        <v>1등급</v>
      </c>
      <c r="P867" s="5" t="str">
        <f>HYPERLINK("http://www.lghausys.co.kr/popup/rn/download/downloadPopup.jsp?from=plwindow&amp;uu=/upload/window/REPORT/LGH-WA19-035.pdf","50등급")</f>
        <v>50등급</v>
      </c>
      <c r="Q867" s="5" t="str">
        <f>HYPERLINK("http://www.lghausys.co.kr/popup/rn/download/downloadPopup.jsp?from=plwindow&amp;uu=/upload/window/REPORT/LGH-WA19-035.pdf","360등급")</f>
        <v>360등급</v>
      </c>
      <c r="R867" s="5" t="s">
        <v>19</v>
      </c>
      <c r="S867" s="5" t="s">
        <v>19</v>
      </c>
      <c r="T867" s="5" t="s">
        <v>19</v>
      </c>
      <c r="U867" s="5" t="s">
        <v>19</v>
      </c>
      <c r="V867" s="5" t="s">
        <v>19</v>
      </c>
      <c r="W867" s="5" t="s">
        <v>152</v>
      </c>
      <c r="X867"/>
    </row>
    <row r="868" spans="1:24">
      <c r="A868" t="s">
        <v>139</v>
      </c>
      <c r="B868" t="s">
        <v>19</v>
      </c>
      <c r="C868" t="s">
        <v>31</v>
      </c>
      <c r="D868" t="s">
        <v>158</v>
      </c>
      <c r="E868" t="s">
        <v>19</v>
      </c>
      <c r="F868" t="s">
        <v>25</v>
      </c>
      <c r="G868" t="s">
        <v>182</v>
      </c>
      <c r="H868" t="s">
        <v>64</v>
      </c>
      <c r="I868" t="s">
        <v>19</v>
      </c>
      <c r="J868" t="s">
        <v>145</v>
      </c>
      <c r="K868" s="21" t="s">
        <v>607</v>
      </c>
      <c r="L868" s="5" t="s">
        <v>19</v>
      </c>
      <c r="M868" s="5" t="s">
        <v>19</v>
      </c>
      <c r="N868" s="5" t="s">
        <v>19</v>
      </c>
      <c r="O868" s="5" t="str">
        <f>HYPERLINK("http://www.lghausys.co.kr/popup/rn/download/downloadPopup.jsp?from=plwindow&amp;uu=/upload/window/REPORT/LGH-WA19-036.pdf","1등급")</f>
        <v>1등급</v>
      </c>
      <c r="P868" s="5" t="str">
        <f>HYPERLINK("http://www.lghausys.co.kr/popup/rn/download/downloadPopup.jsp?from=plwindow&amp;uu=/upload/window/REPORT/LGH-WA19-036.pdf","50등급")</f>
        <v>50등급</v>
      </c>
      <c r="Q868" s="5" t="str">
        <f>HYPERLINK("http://www.lghausys.co.kr/popup/rn/download/downloadPopup.jsp?from=plwindow&amp;uu=/upload/window/REPORT/LGH-WA19-036.pdf","360등급")</f>
        <v>360등급</v>
      </c>
      <c r="R868" s="5" t="s">
        <v>19</v>
      </c>
      <c r="S868" s="5" t="s">
        <v>19</v>
      </c>
      <c r="T868" s="5" t="s">
        <v>19</v>
      </c>
      <c r="U868" s="5" t="s">
        <v>19</v>
      </c>
      <c r="V868" s="5" t="s">
        <v>19</v>
      </c>
      <c r="W868" s="5" t="s">
        <v>152</v>
      </c>
      <c r="X868"/>
    </row>
    <row r="869" spans="1:24">
      <c r="A869" t="s">
        <v>203</v>
      </c>
      <c r="B869" t="s">
        <v>19</v>
      </c>
      <c r="C869" t="s">
        <v>31</v>
      </c>
      <c r="D869" t="s">
        <v>147</v>
      </c>
      <c r="E869" t="s">
        <v>19</v>
      </c>
      <c r="F869" t="s">
        <v>68</v>
      </c>
      <c r="G869" t="s">
        <v>182</v>
      </c>
      <c r="H869" t="s">
        <v>102</v>
      </c>
      <c r="I869" t="s">
        <v>19</v>
      </c>
      <c r="J869" t="s">
        <v>74</v>
      </c>
      <c r="K869" s="21" t="s">
        <v>607</v>
      </c>
      <c r="L869" s="5" t="s">
        <v>19</v>
      </c>
      <c r="M869" s="5" t="s">
        <v>19</v>
      </c>
      <c r="N869" s="5" t="s">
        <v>19</v>
      </c>
      <c r="O869" s="5" t="str">
        <f>HYPERLINK("http://www.lghausys.co.kr/popup/rn/download/downloadPopup.jsp?from=plwindow&amp;uu=/upload/window/REPORT/LGH-WA19-037.pdf","1등급")</f>
        <v>1등급</v>
      </c>
      <c r="P869" s="5" t="str">
        <f>HYPERLINK("http://www.lghausys.co.kr/popup/rn/download/downloadPopup.jsp?from=plwindow&amp;uu=/upload/window/REPORT/LGH-WA19-037.pdf","50등급")</f>
        <v>50등급</v>
      </c>
      <c r="Q869" s="5" t="str">
        <f>HYPERLINK("http://www.lghausys.co.kr/popup/rn/download/downloadPopup.jsp?from=plwindow&amp;uu=/upload/window/REPORT/LGH-WA19-037.pdf","400등급")</f>
        <v>400등급</v>
      </c>
      <c r="R869" s="5" t="s">
        <v>19</v>
      </c>
      <c r="S869" s="5" t="s">
        <v>19</v>
      </c>
      <c r="T869" s="5" t="s">
        <v>19</v>
      </c>
      <c r="U869" s="5" t="s">
        <v>19</v>
      </c>
      <c r="V869" s="5" t="s">
        <v>19</v>
      </c>
      <c r="W869" s="5" t="s">
        <v>152</v>
      </c>
      <c r="X869"/>
    </row>
    <row r="870" spans="1:24">
      <c r="A870" t="s">
        <v>443</v>
      </c>
      <c r="B870" t="s">
        <v>19</v>
      </c>
      <c r="C870" t="s">
        <v>20</v>
      </c>
      <c r="D870" t="s">
        <v>129</v>
      </c>
      <c r="E870" t="s">
        <v>19</v>
      </c>
      <c r="F870" t="s">
        <v>19</v>
      </c>
      <c r="G870" t="s">
        <v>19</v>
      </c>
      <c r="H870" t="s">
        <v>19</v>
      </c>
      <c r="I870" t="s">
        <v>19</v>
      </c>
      <c r="J870" t="s">
        <v>97</v>
      </c>
      <c r="K870" s="21" t="str">
        <f>IF(X870&lt;=0.9,HYPERLINK("http://www.lxhausys.co.kr/popup/rn/download/downloadPopup.jsp?from=plwindow&amp;uu=/upload/window/REPORT/LGH-TW19-003.pdf","1등급"),IF(X870&lt;=1.2,HYPERLINK("http://www.lxhausys.co.kr/popup/rn/download/downloadPopup.jsp?from=plwindow&amp;uu=/upload/window/REPORT/LGH-TW19-003.pdf","2등급"),IF(X870&lt;=1.8,HYPERLINK("http://www.lxhausys.co.kr/popup/rn/download/downloadPopup.jsp?from=plwindow&amp;uu=/upload/window/REPORT/LGH-TW19-003.pdf","3등급"),IF(X870&lt;=2.3,HYPERLINK("http://www.lxhausys.co.kr/popup/rn/download/downloadPopup.jsp?from=plwindow&amp;uu=/upload/window/REPORT/LGH-TW19-003.pdf","4등급"),IF(X870&lt;=2.8,HYPERLINK("http://www.lxhausys.co.kr/popup/rn/download/downloadPopup.jsp?from=plwindow&amp;uu=/upload/window/REPORT/LGH-TW19-003.pdf","5등급"),HYPERLINK("http://www.lxhausys.co.kr/popup/rn/download/downloadPopup.jsp?from=plwindow&amp;uu=/upload/window/REPORT/LGH-TW19-003.pdf","등급외"))))))</f>
        <v>1등급</v>
      </c>
      <c r="L870" s="5">
        <v>0.80900000000000005</v>
      </c>
      <c r="M870" s="5" t="s">
        <v>22</v>
      </c>
      <c r="N870" s="5" t="s">
        <v>607</v>
      </c>
      <c r="O870" s="5" t="s">
        <v>19</v>
      </c>
      <c r="P870" s="5" t="s">
        <v>19</v>
      </c>
      <c r="Q870" s="5" t="s">
        <v>19</v>
      </c>
      <c r="R870" s="5" t="s">
        <v>19</v>
      </c>
      <c r="S870" s="5" t="s">
        <v>19</v>
      </c>
      <c r="T870" s="5" t="s">
        <v>19</v>
      </c>
      <c r="U870" s="5" t="s">
        <v>19</v>
      </c>
      <c r="V870" s="5" t="s">
        <v>19</v>
      </c>
      <c r="W870" s="5" t="s">
        <v>19</v>
      </c>
      <c r="X870" s="19">
        <f>L870</f>
        <v>0.80900000000000005</v>
      </c>
    </row>
    <row r="871" spans="1:24">
      <c r="A871" t="s">
        <v>226</v>
      </c>
      <c r="B871" t="s">
        <v>19</v>
      </c>
      <c r="C871" t="s">
        <v>14</v>
      </c>
      <c r="D871" t="s">
        <v>25</v>
      </c>
      <c r="E871" t="s">
        <v>227</v>
      </c>
      <c r="F871" t="s">
        <v>19</v>
      </c>
      <c r="G871" t="s">
        <v>19</v>
      </c>
      <c r="H871" t="s">
        <v>28</v>
      </c>
      <c r="I871" t="s">
        <v>19</v>
      </c>
      <c r="J871" t="s">
        <v>145</v>
      </c>
      <c r="K871" s="21" t="s">
        <v>607</v>
      </c>
      <c r="L871" s="5" t="s">
        <v>19</v>
      </c>
      <c r="M871" s="5" t="s">
        <v>19</v>
      </c>
      <c r="N871" s="5" t="s">
        <v>19</v>
      </c>
      <c r="O871" s="5" t="s">
        <v>19</v>
      </c>
      <c r="P871" s="5" t="s">
        <v>19</v>
      </c>
      <c r="Q871" s="5" t="s">
        <v>19</v>
      </c>
      <c r="R871" s="5" t="s">
        <v>19</v>
      </c>
      <c r="S871" s="5" t="s">
        <v>19</v>
      </c>
      <c r="T871" s="5" t="str">
        <f>HYPERLINK("http://www.lghausys.co.kr/popup/rn/download/downloadPopup.jsp?from=plwindow&amp;uu=/upload/window/REPORT/LGH-DA19-009.pdf","결로발생없음")</f>
        <v>결로발생없음</v>
      </c>
      <c r="U871" s="5" t="s">
        <v>19</v>
      </c>
      <c r="V871" s="5" t="s">
        <v>19</v>
      </c>
      <c r="W871" s="5" t="s">
        <v>75</v>
      </c>
      <c r="X871"/>
    </row>
    <row r="872" spans="1:24">
      <c r="A872" t="s">
        <v>52</v>
      </c>
      <c r="B872" t="s">
        <v>19</v>
      </c>
      <c r="C872" t="s">
        <v>14</v>
      </c>
      <c r="D872" t="s">
        <v>89</v>
      </c>
      <c r="E872" t="s">
        <v>19</v>
      </c>
      <c r="F872" t="s">
        <v>19</v>
      </c>
      <c r="G872" t="s">
        <v>19</v>
      </c>
      <c r="H872" t="s">
        <v>28</v>
      </c>
      <c r="I872" t="s">
        <v>19</v>
      </c>
      <c r="J872" t="s">
        <v>74</v>
      </c>
      <c r="K872" s="21" t="s">
        <v>607</v>
      </c>
      <c r="L872" s="5" t="s">
        <v>19</v>
      </c>
      <c r="M872" s="5" t="s">
        <v>19</v>
      </c>
      <c r="N872" s="5" t="s">
        <v>19</v>
      </c>
      <c r="O872" s="5" t="s">
        <v>19</v>
      </c>
      <c r="P872" s="5" t="s">
        <v>19</v>
      </c>
      <c r="Q872" s="5" t="s">
        <v>19</v>
      </c>
      <c r="R872" s="5" t="s">
        <v>19</v>
      </c>
      <c r="S872" s="5" t="s">
        <v>19</v>
      </c>
      <c r="T872" s="5" t="str">
        <f>HYPERLINK("http://www.lghausys.co.kr/popup/rn/download/downloadPopup.jsp?from=plwindow&amp;uu=/upload/window/REPORT/LGH-DA19-013.pdf","결로발생없음")</f>
        <v>결로발생없음</v>
      </c>
      <c r="U872" s="5" t="s">
        <v>19</v>
      </c>
      <c r="V872" s="5" t="s">
        <v>19</v>
      </c>
      <c r="W872" s="5" t="s">
        <v>75</v>
      </c>
      <c r="X872"/>
    </row>
    <row r="873" spans="1:24">
      <c r="A873" t="s">
        <v>203</v>
      </c>
      <c r="B873" t="s">
        <v>19</v>
      </c>
      <c r="C873" t="s">
        <v>34</v>
      </c>
      <c r="D873" t="s">
        <v>147</v>
      </c>
      <c r="E873" t="s">
        <v>19</v>
      </c>
      <c r="F873" t="s">
        <v>68</v>
      </c>
      <c r="G873" t="s">
        <v>182</v>
      </c>
      <c r="H873" t="s">
        <v>102</v>
      </c>
      <c r="I873" t="s">
        <v>19</v>
      </c>
      <c r="J873" t="s">
        <v>74</v>
      </c>
      <c r="K873" s="21" t="s">
        <v>607</v>
      </c>
      <c r="L873" s="5" t="s">
        <v>19</v>
      </c>
      <c r="M873" s="5" t="s">
        <v>19</v>
      </c>
      <c r="N873" s="5" t="str">
        <f>HYPERLINK("http://www.lghausys.co.kr/popup/rn/download/downloadPopup.jsp?from=plwindow&amp;uu=/upload/window/REPORT/LGH-TA19-030.pdf","0.833")</f>
        <v>0.833</v>
      </c>
      <c r="O873" s="5" t="s">
        <v>19</v>
      </c>
      <c r="P873" s="5" t="s">
        <v>19</v>
      </c>
      <c r="Q873" s="5" t="s">
        <v>19</v>
      </c>
      <c r="R873" s="5" t="s">
        <v>19</v>
      </c>
      <c r="S873" s="5" t="s">
        <v>19</v>
      </c>
      <c r="T873" s="5" t="s">
        <v>19</v>
      </c>
      <c r="U873" s="5" t="s">
        <v>19</v>
      </c>
      <c r="V873" s="5" t="s">
        <v>19</v>
      </c>
      <c r="W873" s="5" t="s">
        <v>75</v>
      </c>
      <c r="X873"/>
    </row>
    <row r="874" spans="1:24">
      <c r="A874" t="s">
        <v>52</v>
      </c>
      <c r="B874" t="s">
        <v>19</v>
      </c>
      <c r="C874" t="s">
        <v>34</v>
      </c>
      <c r="D874" t="s">
        <v>28</v>
      </c>
      <c r="E874" t="s">
        <v>19</v>
      </c>
      <c r="F874" t="s">
        <v>19</v>
      </c>
      <c r="G874" t="s">
        <v>19</v>
      </c>
      <c r="H874" t="s">
        <v>25</v>
      </c>
      <c r="I874" t="s">
        <v>19</v>
      </c>
      <c r="J874" t="s">
        <v>145</v>
      </c>
      <c r="K874" s="21" t="s">
        <v>607</v>
      </c>
      <c r="L874" s="5" t="s">
        <v>19</v>
      </c>
      <c r="M874" s="5" t="s">
        <v>19</v>
      </c>
      <c r="N874" s="5" t="str">
        <f>HYPERLINK("http://www.lghausys.co.kr/popup/rn/download/downloadPopup.jsp?from=plwindow&amp;uu=/upload/window/REPORT/LGH-TA19-031.pdf","1.034")</f>
        <v>1.034</v>
      </c>
      <c r="O874" s="5" t="s">
        <v>19</v>
      </c>
      <c r="P874" s="5" t="s">
        <v>19</v>
      </c>
      <c r="Q874" s="5" t="s">
        <v>19</v>
      </c>
      <c r="R874" s="5" t="s">
        <v>19</v>
      </c>
      <c r="S874" s="5" t="s">
        <v>19</v>
      </c>
      <c r="T874" s="5" t="s">
        <v>19</v>
      </c>
      <c r="U874" s="5" t="s">
        <v>19</v>
      </c>
      <c r="V874" s="5" t="s">
        <v>19</v>
      </c>
      <c r="W874" s="5" t="s">
        <v>75</v>
      </c>
      <c r="X874"/>
    </row>
    <row r="875" spans="1:24">
      <c r="A875" t="s">
        <v>222</v>
      </c>
      <c r="B875" t="s">
        <v>19</v>
      </c>
      <c r="C875" t="s">
        <v>31</v>
      </c>
      <c r="D875" t="s">
        <v>28</v>
      </c>
      <c r="E875" t="s">
        <v>96</v>
      </c>
      <c r="F875" t="s">
        <v>19</v>
      </c>
      <c r="G875" t="s">
        <v>19</v>
      </c>
      <c r="H875" t="s">
        <v>28</v>
      </c>
      <c r="I875" t="s">
        <v>19</v>
      </c>
      <c r="J875" t="s">
        <v>74</v>
      </c>
      <c r="K875" s="21" t="s">
        <v>607</v>
      </c>
      <c r="L875" s="5" t="s">
        <v>19</v>
      </c>
      <c r="M875" s="5" t="s">
        <v>19</v>
      </c>
      <c r="N875" s="5" t="s">
        <v>19</v>
      </c>
      <c r="O875" s="5" t="s">
        <v>19</v>
      </c>
      <c r="P875" s="5" t="str">
        <f>HYPERLINK("http://www.lghausys.co.kr/popup/rn/download/downloadPopup.jsp?from=plwindow&amp;uu=/upload/window/REPORT/LGH-WA19-053.pdf","50등급")</f>
        <v>50등급</v>
      </c>
      <c r="Q875" s="5" t="str">
        <f>HYPERLINK("http://www.lghausys.co.kr/popup/rn/download/downloadPopup.jsp?from=plwindow&amp;uu=/upload/window/REPORT/LGH-WA19-053.pdf","400등급")</f>
        <v>400등급</v>
      </c>
      <c r="R875" s="5" t="s">
        <v>19</v>
      </c>
      <c r="S875" s="5" t="s">
        <v>19</v>
      </c>
      <c r="T875" s="5" t="s">
        <v>19</v>
      </c>
      <c r="U875" s="5" t="s">
        <v>19</v>
      </c>
      <c r="V875" s="5" t="s">
        <v>19</v>
      </c>
      <c r="W875" s="5" t="s">
        <v>152</v>
      </c>
      <c r="X875"/>
    </row>
    <row r="876" spans="1:24">
      <c r="A876" t="s">
        <v>125</v>
      </c>
      <c r="B876" t="s">
        <v>19</v>
      </c>
      <c r="C876" t="s">
        <v>31</v>
      </c>
      <c r="D876" t="s">
        <v>25</v>
      </c>
      <c r="E876" t="s">
        <v>19</v>
      </c>
      <c r="F876" t="s">
        <v>19</v>
      </c>
      <c r="G876" t="s">
        <v>19</v>
      </c>
      <c r="H876" t="s">
        <v>19</v>
      </c>
      <c r="I876" t="s">
        <v>19</v>
      </c>
      <c r="J876" t="s">
        <v>99</v>
      </c>
      <c r="K876" s="21" t="s">
        <v>607</v>
      </c>
      <c r="L876" s="5" t="s">
        <v>19</v>
      </c>
      <c r="M876" s="5" t="s">
        <v>19</v>
      </c>
      <c r="N876" s="5" t="s">
        <v>19</v>
      </c>
      <c r="O876" s="5" t="str">
        <f>HYPERLINK("http://www.lghausys.co.kr/popup/rn/download/downloadPopup.jsp?from=plwindow&amp;uu=/upload/window/REPORT/LGH-WA19-057.pdf","2등급")</f>
        <v>2등급</v>
      </c>
      <c r="P876" s="5" t="str">
        <f>HYPERLINK("http://www.lghausys.co.kr/popup/rn/download/downloadPopup.jsp?from=plwindow&amp;uu=/upload/window/REPORT/LGH-WA19-057.pdf","15등급")</f>
        <v>15등급</v>
      </c>
      <c r="Q876" s="5" t="str">
        <f>HYPERLINK("http://www.lghausys.co.kr/popup/rn/download/downloadPopup.jsp?from=plwindow&amp;uu=/upload/window/REPORT/LGH-WA19-057.pdf","240등급")</f>
        <v>240등급</v>
      </c>
      <c r="R876" s="5" t="s">
        <v>19</v>
      </c>
      <c r="S876" s="5" t="s">
        <v>19</v>
      </c>
      <c r="T876" s="5" t="s">
        <v>19</v>
      </c>
      <c r="U876" s="5" t="s">
        <v>19</v>
      </c>
      <c r="V876" s="5" t="s">
        <v>19</v>
      </c>
      <c r="W876" s="5" t="s">
        <v>152</v>
      </c>
      <c r="X876"/>
    </row>
    <row r="877" spans="1:24">
      <c r="A877" t="s">
        <v>62</v>
      </c>
      <c r="B877" t="s">
        <v>19</v>
      </c>
      <c r="C877" t="s">
        <v>20</v>
      </c>
      <c r="D877" t="s">
        <v>68</v>
      </c>
      <c r="E877" t="s">
        <v>19</v>
      </c>
      <c r="F877" t="s">
        <v>19</v>
      </c>
      <c r="G877" t="s">
        <v>19</v>
      </c>
      <c r="H877" t="s">
        <v>235</v>
      </c>
      <c r="I877" t="s">
        <v>19</v>
      </c>
      <c r="J877" t="s">
        <v>97</v>
      </c>
      <c r="K877" s="21" t="str">
        <f>IF(X877&lt;=0.9,HYPERLINK("http://www.lxhausys.co.kr/popup/rn/download/downloadPopup.jsp?from=plwindow&amp;uu=/upload/window/REPORT/LGH-TW19-004.pdf","1등급"),IF(X877&lt;=1.2,HYPERLINK("http://www.lxhausys.co.kr/popup/rn/download/downloadPopup.jsp?from=plwindow&amp;uu=/upload/window/REPORT/LGH-TW19-004.pdf","2등급"),IF(X877&lt;=1.8,HYPERLINK("http://www.lxhausys.co.kr/popup/rn/download/downloadPopup.jsp?from=plwindow&amp;uu=/upload/window/REPORT/LGH-TW19-004.pdf","3등급"),IF(X877&lt;=2.3,HYPERLINK("http://www.lxhausys.co.kr/popup/rn/download/downloadPopup.jsp?from=plwindow&amp;uu=/upload/window/REPORT/LGH-TW19-004.pdf","4등급"),IF(X877&lt;=2.8,HYPERLINK("http://www.lxhausys.co.kr/popup/rn/download/downloadPopup.jsp?from=plwindow&amp;uu=/upload/window/REPORT/LGH-TW19-004.pdf","5등급"),HYPERLINK("http://www.lxhausys.co.kr/popup/rn/download/downloadPopup.jsp?from=plwindow&amp;uu=/upload/window/REPORT/LGH-TW19-004.pdf","등급외"))))))</f>
        <v>2등급</v>
      </c>
      <c r="L877" s="5">
        <v>0.96200000000000008</v>
      </c>
      <c r="M877" s="5" t="s">
        <v>22</v>
      </c>
      <c r="N877" s="5" t="s">
        <v>607</v>
      </c>
      <c r="O877" s="5" t="s">
        <v>19</v>
      </c>
      <c r="P877" s="5" t="s">
        <v>19</v>
      </c>
      <c r="Q877" s="5" t="s">
        <v>19</v>
      </c>
      <c r="R877" s="5" t="s">
        <v>19</v>
      </c>
      <c r="S877" s="5" t="s">
        <v>19</v>
      </c>
      <c r="T877" s="5" t="s">
        <v>19</v>
      </c>
      <c r="U877" s="5" t="s">
        <v>19</v>
      </c>
      <c r="V877" s="5" t="s">
        <v>19</v>
      </c>
      <c r="W877" s="5" t="s">
        <v>19</v>
      </c>
      <c r="X877" s="19">
        <f>L877</f>
        <v>0.96200000000000008</v>
      </c>
    </row>
    <row r="878" spans="1:24">
      <c r="A878" t="s">
        <v>52</v>
      </c>
      <c r="B878" t="s">
        <v>19</v>
      </c>
      <c r="C878" t="s">
        <v>20</v>
      </c>
      <c r="D878" t="s">
        <v>68</v>
      </c>
      <c r="E878" t="s">
        <v>19</v>
      </c>
      <c r="F878" t="s">
        <v>19</v>
      </c>
      <c r="G878" t="s">
        <v>19</v>
      </c>
      <c r="H878" t="s">
        <v>235</v>
      </c>
      <c r="I878" t="s">
        <v>19</v>
      </c>
      <c r="J878" t="s">
        <v>97</v>
      </c>
      <c r="K878" s="21" t="str">
        <f>IF(X878&lt;=0.9,HYPERLINK("http://www.lxhausys.co.kr/popup/rn/download/downloadPopup.jsp?from=plwindow&amp;uu=/upload/window/REPORT/LGH-TW19-005.pdf","1등급"),IF(X878&lt;=1.2,HYPERLINK("http://www.lxhausys.co.kr/popup/rn/download/downloadPopup.jsp?from=plwindow&amp;uu=/upload/window/REPORT/LGH-TW19-005.pdf","2등급"),IF(X878&lt;=1.8,HYPERLINK("http://www.lxhausys.co.kr/popup/rn/download/downloadPopup.jsp?from=plwindow&amp;uu=/upload/window/REPORT/LGH-TW19-005.pdf","3등급"),IF(X878&lt;=2.3,HYPERLINK("http://www.lxhausys.co.kr/popup/rn/download/downloadPopup.jsp?from=plwindow&amp;uu=/upload/window/REPORT/LGH-TW19-005.pdf","4등급"),IF(X878&lt;=2.8,HYPERLINK("http://www.lxhausys.co.kr/popup/rn/download/downloadPopup.jsp?from=plwindow&amp;uu=/upload/window/REPORT/LGH-TW19-005.pdf","5등급"),HYPERLINK("http://www.lxhausys.co.kr/popup/rn/download/downloadPopup.jsp?from=plwindow&amp;uu=/upload/window/REPORT/LGH-TW19-005.pdf","등급외"))))))</f>
        <v>2등급</v>
      </c>
      <c r="L878" s="5">
        <v>0.97499999999999998</v>
      </c>
      <c r="M878" s="5" t="s">
        <v>22</v>
      </c>
      <c r="N878" s="5" t="s">
        <v>607</v>
      </c>
      <c r="O878" s="5" t="s">
        <v>19</v>
      </c>
      <c r="P878" s="5" t="s">
        <v>19</v>
      </c>
      <c r="Q878" s="5" t="s">
        <v>19</v>
      </c>
      <c r="R878" s="5" t="s">
        <v>19</v>
      </c>
      <c r="S878" s="5" t="s">
        <v>19</v>
      </c>
      <c r="T878" s="5" t="s">
        <v>19</v>
      </c>
      <c r="U878" s="5" t="s">
        <v>19</v>
      </c>
      <c r="V878" s="5" t="s">
        <v>19</v>
      </c>
      <c r="W878" s="5" t="s">
        <v>19</v>
      </c>
      <c r="X878" s="19">
        <f>L878</f>
        <v>0.97499999999999998</v>
      </c>
    </row>
    <row r="879" spans="1:24">
      <c r="A879" t="s">
        <v>133</v>
      </c>
      <c r="B879" t="s">
        <v>19</v>
      </c>
      <c r="C879" t="s">
        <v>31</v>
      </c>
      <c r="D879" t="s">
        <v>28</v>
      </c>
      <c r="E879" t="s">
        <v>236</v>
      </c>
      <c r="F879" t="s">
        <v>19</v>
      </c>
      <c r="G879" t="s">
        <v>19</v>
      </c>
      <c r="H879" t="s">
        <v>25</v>
      </c>
      <c r="I879" t="s">
        <v>19</v>
      </c>
      <c r="J879" t="s">
        <v>74</v>
      </c>
      <c r="K879" s="21" t="s">
        <v>607</v>
      </c>
      <c r="L879" s="5" t="s">
        <v>19</v>
      </c>
      <c r="M879" s="5" t="s">
        <v>19</v>
      </c>
      <c r="N879" s="5" t="s">
        <v>19</v>
      </c>
      <c r="O879" s="5" t="str">
        <f>HYPERLINK("http://www.lghausys.co.kr/popup/rn/download/downloadPopup.jsp?from=plwindow&amp;uu=/upload/window/REPORT/LGH-WA19-060.pdf","1등급")</f>
        <v>1등급</v>
      </c>
      <c r="P879" s="5" t="str">
        <f>HYPERLINK("http://www.lghausys.co.kr/popup/rn/download/downloadPopup.jsp?from=plwindow&amp;uu=/upload/window/REPORT/LGH-WA19-060.pdf","50등급")</f>
        <v>50등급</v>
      </c>
      <c r="Q879" s="5" t="str">
        <f>HYPERLINK("http://www.lghausys.co.kr/popup/rn/download/downloadPopup.jsp?from=plwindow&amp;uu=/upload/window/REPORT/LGH-WA19-060.pdf","400등급")</f>
        <v>400등급</v>
      </c>
      <c r="R879" s="5" t="s">
        <v>19</v>
      </c>
      <c r="S879" s="5" t="s">
        <v>19</v>
      </c>
      <c r="T879" s="5" t="s">
        <v>19</v>
      </c>
      <c r="U879" s="5" t="s">
        <v>19</v>
      </c>
      <c r="V879" s="5" t="s">
        <v>19</v>
      </c>
      <c r="W879" s="5" t="s">
        <v>152</v>
      </c>
      <c r="X879"/>
    </row>
    <row r="880" spans="1:24">
      <c r="A880" t="s">
        <v>221</v>
      </c>
      <c r="B880" t="s">
        <v>19</v>
      </c>
      <c r="C880" t="s">
        <v>20</v>
      </c>
      <c r="D880" t="s">
        <v>64</v>
      </c>
      <c r="E880" t="s">
        <v>157</v>
      </c>
      <c r="F880" t="s">
        <v>19</v>
      </c>
      <c r="G880" t="s">
        <v>19</v>
      </c>
      <c r="H880" t="s">
        <v>19</v>
      </c>
      <c r="I880" t="s">
        <v>19</v>
      </c>
      <c r="J880" t="s">
        <v>74</v>
      </c>
      <c r="K880" s="21" t="str">
        <f>IF(X880&lt;=0.9,HYPERLINK("http://www.lxhausys.co.kr/popup/rn/download/downloadPopup.jsp?from=plwindow&amp;uu=/upload/window/REPORT/LGH-TW19-006.pdf","1등급"),IF(X880&lt;=1.2,HYPERLINK("http://www.lxhausys.co.kr/popup/rn/download/downloadPopup.jsp?from=plwindow&amp;uu=/upload/window/REPORT/LGH-TW19-006.pdf","2등급"),IF(X880&lt;=1.8,HYPERLINK("http://www.lxhausys.co.kr/popup/rn/download/downloadPopup.jsp?from=plwindow&amp;uu=/upload/window/REPORT/LGH-TW19-006.pdf","3등급"),IF(X880&lt;=2.3,HYPERLINK("http://www.lxhausys.co.kr/popup/rn/download/downloadPopup.jsp?from=plwindow&amp;uu=/upload/window/REPORT/LGH-TW19-006.pdf","4등급"),IF(X880&lt;=2.8,HYPERLINK("http://www.lxhausys.co.kr/popup/rn/download/downloadPopup.jsp?from=plwindow&amp;uu=/upload/window/REPORT/LGH-TW19-006.pdf","5등급"),HYPERLINK("http://www.lxhausys.co.kr/popup/rn/download/downloadPopup.jsp?from=plwindow&amp;uu=/upload/window/REPORT/LGH-TW19-006.pdf","등급외"))))))</f>
        <v>5등급</v>
      </c>
      <c r="L880" s="5">
        <v>2.4569999999999999</v>
      </c>
      <c r="M880" s="5" t="s">
        <v>103</v>
      </c>
      <c r="N880" s="5" t="s">
        <v>607</v>
      </c>
      <c r="O880" s="5" t="s">
        <v>19</v>
      </c>
      <c r="P880" s="5" t="s">
        <v>19</v>
      </c>
      <c r="Q880" s="5" t="s">
        <v>19</v>
      </c>
      <c r="R880" s="5" t="s">
        <v>19</v>
      </c>
      <c r="S880" s="5" t="s">
        <v>19</v>
      </c>
      <c r="T880" s="5" t="s">
        <v>19</v>
      </c>
      <c r="U880" s="5" t="s">
        <v>19</v>
      </c>
      <c r="V880" s="5" t="s">
        <v>19</v>
      </c>
      <c r="W880" s="5" t="s">
        <v>19</v>
      </c>
      <c r="X880" s="19">
        <f t="shared" ref="X880:X897" si="7">L880</f>
        <v>2.4569999999999999</v>
      </c>
    </row>
    <row r="881" spans="1:24">
      <c r="A881" t="s">
        <v>221</v>
      </c>
      <c r="B881" t="s">
        <v>19</v>
      </c>
      <c r="C881" t="s">
        <v>20</v>
      </c>
      <c r="D881" t="s">
        <v>28</v>
      </c>
      <c r="E881" t="s">
        <v>96</v>
      </c>
      <c r="F881" t="s">
        <v>19</v>
      </c>
      <c r="G881" t="s">
        <v>19</v>
      </c>
      <c r="H881" t="s">
        <v>19</v>
      </c>
      <c r="I881" t="s">
        <v>19</v>
      </c>
      <c r="J881" t="s">
        <v>74</v>
      </c>
      <c r="K881" s="21" t="str">
        <f>IF(X881&lt;=0.9,HYPERLINK("http://www.lxhausys.co.kr/popup/rn/download/downloadPopup.jsp?from=plwindow&amp;uu=/upload/window/REPORT/LGH-TW19-007.pdf","1등급"),IF(X881&lt;=1.2,HYPERLINK("http://www.lxhausys.co.kr/popup/rn/download/downloadPopup.jsp?from=plwindow&amp;uu=/upload/window/REPORT/LGH-TW19-007.pdf","2등급"),IF(X881&lt;=1.8,HYPERLINK("http://www.lxhausys.co.kr/popup/rn/download/downloadPopup.jsp?from=plwindow&amp;uu=/upload/window/REPORT/LGH-TW19-007.pdf","3등급"),IF(X881&lt;=2.3,HYPERLINK("http://www.lxhausys.co.kr/popup/rn/download/downloadPopup.jsp?from=plwindow&amp;uu=/upload/window/REPORT/LGH-TW19-007.pdf","4등급"),IF(X881&lt;=2.8,HYPERLINK("http://www.lxhausys.co.kr/popup/rn/download/downloadPopup.jsp?from=plwindow&amp;uu=/upload/window/REPORT/LGH-TW19-007.pdf","5등급"),HYPERLINK("http://www.lxhausys.co.kr/popup/rn/download/downloadPopup.jsp?from=plwindow&amp;uu=/upload/window/REPORT/LGH-TW19-007.pdf","등급외"))))))</f>
        <v>5등급</v>
      </c>
      <c r="L881" s="5">
        <v>2.6739999999999999</v>
      </c>
      <c r="M881" s="5" t="s">
        <v>103</v>
      </c>
      <c r="N881" s="5" t="s">
        <v>607</v>
      </c>
      <c r="O881" s="5" t="s">
        <v>19</v>
      </c>
      <c r="P881" s="5" t="s">
        <v>19</v>
      </c>
      <c r="Q881" s="5" t="s">
        <v>19</v>
      </c>
      <c r="R881" s="5" t="s">
        <v>19</v>
      </c>
      <c r="S881" s="5" t="s">
        <v>19</v>
      </c>
      <c r="T881" s="5" t="s">
        <v>19</v>
      </c>
      <c r="U881" s="5" t="s">
        <v>19</v>
      </c>
      <c r="V881" s="5" t="s">
        <v>19</v>
      </c>
      <c r="W881" s="5" t="s">
        <v>19</v>
      </c>
      <c r="X881" s="19">
        <f t="shared" si="7"/>
        <v>2.6739999999999999</v>
      </c>
    </row>
    <row r="882" spans="1:24">
      <c r="A882" t="s">
        <v>222</v>
      </c>
      <c r="B882" t="s">
        <v>19</v>
      </c>
      <c r="C882" t="s">
        <v>20</v>
      </c>
      <c r="D882" t="s">
        <v>25</v>
      </c>
      <c r="E882" t="s">
        <v>178</v>
      </c>
      <c r="F882" t="s">
        <v>19</v>
      </c>
      <c r="G882" t="s">
        <v>19</v>
      </c>
      <c r="H882" t="s">
        <v>64</v>
      </c>
      <c r="I882" t="s">
        <v>19</v>
      </c>
      <c r="J882" t="s">
        <v>74</v>
      </c>
      <c r="K882" s="21" t="str">
        <f>IF(X882&lt;=0.9,HYPERLINK("http://www.lxhausys.co.kr/popup/rn/download/downloadPopup.jsp?from=plwindow&amp;uu=/upload/window/REPORT/LGH-TW19-008.pdf","1등급"),IF(X882&lt;=1.2,HYPERLINK("http://www.lxhausys.co.kr/popup/rn/download/downloadPopup.jsp?from=plwindow&amp;uu=/upload/window/REPORT/LGH-TW19-008.pdf","2등급"),IF(X882&lt;=1.8,HYPERLINK("http://www.lxhausys.co.kr/popup/rn/download/downloadPopup.jsp?from=plwindow&amp;uu=/upload/window/REPORT/LGH-TW19-008.pdf","3등급"),IF(X882&lt;=2.3,HYPERLINK("http://www.lxhausys.co.kr/popup/rn/download/downloadPopup.jsp?from=plwindow&amp;uu=/upload/window/REPORT/LGH-TW19-008.pdf","4등급"),IF(X882&lt;=2.8,HYPERLINK("http://www.lxhausys.co.kr/popup/rn/download/downloadPopup.jsp?from=plwindow&amp;uu=/upload/window/REPORT/LGH-TW19-008.pdf","5등급"),HYPERLINK("http://www.lxhausys.co.kr/popup/rn/download/downloadPopup.jsp?from=plwindow&amp;uu=/upload/window/REPORT/LGH-TW19-008.pdf","등급외"))))))</f>
        <v>2등급</v>
      </c>
      <c r="L882" s="5">
        <v>0.995</v>
      </c>
      <c r="M882" s="5" t="s">
        <v>22</v>
      </c>
      <c r="N882" s="5" t="s">
        <v>607</v>
      </c>
      <c r="O882" s="5" t="s">
        <v>19</v>
      </c>
      <c r="P882" s="5" t="s">
        <v>19</v>
      </c>
      <c r="Q882" s="5" t="s">
        <v>19</v>
      </c>
      <c r="R882" s="5" t="s">
        <v>19</v>
      </c>
      <c r="S882" s="5" t="s">
        <v>19</v>
      </c>
      <c r="T882" s="5" t="s">
        <v>19</v>
      </c>
      <c r="U882" s="5" t="s">
        <v>19</v>
      </c>
      <c r="V882" s="5" t="s">
        <v>19</v>
      </c>
      <c r="W882" s="5" t="s">
        <v>19</v>
      </c>
      <c r="X882" s="19">
        <f t="shared" si="7"/>
        <v>0.995</v>
      </c>
    </row>
    <row r="883" spans="1:24">
      <c r="A883" t="s">
        <v>222</v>
      </c>
      <c r="B883" t="s">
        <v>19</v>
      </c>
      <c r="C883" t="s">
        <v>20</v>
      </c>
      <c r="D883" t="s">
        <v>28</v>
      </c>
      <c r="E883" t="s">
        <v>96</v>
      </c>
      <c r="F883" t="s">
        <v>19</v>
      </c>
      <c r="G883" t="s">
        <v>19</v>
      </c>
      <c r="H883" t="s">
        <v>28</v>
      </c>
      <c r="I883" t="s">
        <v>19</v>
      </c>
      <c r="J883" t="s">
        <v>74</v>
      </c>
      <c r="K883" s="21" t="str">
        <f>IF(X883&lt;=0.9,HYPERLINK("http://www.lxhausys.co.kr/popup/rn/download/downloadPopup.jsp?from=plwindow&amp;uu=/upload/window/REPORT/LGH-TW19-009.pdf","1등급"),IF(X883&lt;=1.2,HYPERLINK("http://www.lxhausys.co.kr/popup/rn/download/downloadPopup.jsp?from=plwindow&amp;uu=/upload/window/REPORT/LGH-TW19-009.pdf","2등급"),IF(X883&lt;=1.8,HYPERLINK("http://www.lxhausys.co.kr/popup/rn/download/downloadPopup.jsp?from=plwindow&amp;uu=/upload/window/REPORT/LGH-TW19-009.pdf","3등급"),IF(X883&lt;=2.3,HYPERLINK("http://www.lxhausys.co.kr/popup/rn/download/downloadPopup.jsp?from=plwindow&amp;uu=/upload/window/REPORT/LGH-TW19-009.pdf","4등급"),IF(X883&lt;=2.8,HYPERLINK("http://www.lxhausys.co.kr/popup/rn/download/downloadPopup.jsp?from=plwindow&amp;uu=/upload/window/REPORT/LGH-TW19-009.pdf","5등급"),HYPERLINK("http://www.lxhausys.co.kr/popup/rn/download/downloadPopup.jsp?from=plwindow&amp;uu=/upload/window/REPORT/LGH-TW19-009.pdf","등급외"))))))</f>
        <v>2등급</v>
      </c>
      <c r="L883" s="5">
        <v>0.98799999999999999</v>
      </c>
      <c r="M883" s="5" t="s">
        <v>22</v>
      </c>
      <c r="N883" s="5" t="s">
        <v>607</v>
      </c>
      <c r="O883" s="5" t="s">
        <v>19</v>
      </c>
      <c r="P883" s="5" t="s">
        <v>19</v>
      </c>
      <c r="Q883" s="5" t="s">
        <v>19</v>
      </c>
      <c r="R883" s="5" t="s">
        <v>19</v>
      </c>
      <c r="S883" s="5" t="s">
        <v>19</v>
      </c>
      <c r="T883" s="5" t="s">
        <v>19</v>
      </c>
      <c r="U883" s="5" t="s">
        <v>19</v>
      </c>
      <c r="V883" s="5" t="s">
        <v>19</v>
      </c>
      <c r="W883" s="5" t="s">
        <v>19</v>
      </c>
      <c r="X883" s="19">
        <f t="shared" si="7"/>
        <v>0.98799999999999999</v>
      </c>
    </row>
    <row r="884" spans="1:24">
      <c r="A884" t="s">
        <v>19</v>
      </c>
      <c r="B884" t="s">
        <v>230</v>
      </c>
      <c r="C884" t="s">
        <v>20</v>
      </c>
      <c r="D884" t="s">
        <v>25</v>
      </c>
      <c r="E884" t="s">
        <v>178</v>
      </c>
      <c r="F884" t="s">
        <v>19</v>
      </c>
      <c r="G884" t="s">
        <v>19</v>
      </c>
      <c r="H884" t="s">
        <v>64</v>
      </c>
      <c r="I884" t="s">
        <v>19</v>
      </c>
      <c r="J884" t="s">
        <v>74</v>
      </c>
      <c r="K884" s="21" t="str">
        <f>IF(X884&lt;=0.9,HYPERLINK("http://www.lxhausys.co.kr/popup/rn/download/downloadPopup.jsp?from=plwindow&amp;uu=/upload/window/REPORT/LGH-TW19-010.pdf","1등급"),IF(X884&lt;=1.2,HYPERLINK("http://www.lxhausys.co.kr/popup/rn/download/downloadPopup.jsp?from=plwindow&amp;uu=/upload/window/REPORT/LGH-TW19-010.pdf","2등급"),IF(X884&lt;=1.8,HYPERLINK("http://www.lxhausys.co.kr/popup/rn/download/downloadPopup.jsp?from=plwindow&amp;uu=/upload/window/REPORT/LGH-TW19-010.pdf","3등급"),IF(X884&lt;=2.3,HYPERLINK("http://www.lxhausys.co.kr/popup/rn/download/downloadPopup.jsp?from=plwindow&amp;uu=/upload/window/REPORT/LGH-TW19-010.pdf","4등급"),IF(X884&lt;=2.8,HYPERLINK("http://www.lxhausys.co.kr/popup/rn/download/downloadPopup.jsp?from=plwindow&amp;uu=/upload/window/REPORT/LGH-TW19-010.pdf","5등급"),HYPERLINK("http://www.lxhausys.co.kr/popup/rn/download/downloadPopup.jsp?from=plwindow&amp;uu=/upload/window/REPORT/LGH-TW19-010.pdf","등급외"))))))</f>
        <v>2등급</v>
      </c>
      <c r="L884" s="5">
        <v>1.026</v>
      </c>
      <c r="M884" s="5" t="s">
        <v>22</v>
      </c>
      <c r="N884" s="5" t="s">
        <v>607</v>
      </c>
      <c r="O884" s="5" t="s">
        <v>19</v>
      </c>
      <c r="P884" s="5" t="s">
        <v>19</v>
      </c>
      <c r="Q884" s="5" t="s">
        <v>19</v>
      </c>
      <c r="R884" s="5" t="s">
        <v>19</v>
      </c>
      <c r="S884" s="5" t="s">
        <v>19</v>
      </c>
      <c r="T884" s="5" t="s">
        <v>19</v>
      </c>
      <c r="U884" s="5" t="s">
        <v>19</v>
      </c>
      <c r="V884" s="5" t="s">
        <v>19</v>
      </c>
      <c r="W884" s="5" t="s">
        <v>19</v>
      </c>
      <c r="X884" s="19">
        <f t="shared" si="7"/>
        <v>1.026</v>
      </c>
    </row>
    <row r="885" spans="1:24">
      <c r="A885" t="s">
        <v>62</v>
      </c>
      <c r="B885" t="s">
        <v>19</v>
      </c>
      <c r="C885" t="s">
        <v>20</v>
      </c>
      <c r="D885" t="s">
        <v>68</v>
      </c>
      <c r="E885" t="s">
        <v>19</v>
      </c>
      <c r="F885" t="s">
        <v>19</v>
      </c>
      <c r="G885" t="s">
        <v>19</v>
      </c>
      <c r="H885" t="s">
        <v>66</v>
      </c>
      <c r="I885" t="s">
        <v>19</v>
      </c>
      <c r="J885" t="s">
        <v>74</v>
      </c>
      <c r="K885" s="21" t="str">
        <f>IF(X885&lt;=0.9,HYPERLINK("http://www.lxhausys.co.kr/popup/rn/download/downloadPopup.jsp?from=plwindow&amp;uu=/upload/window/REPORT/LGH-TW19-014.pdf","1등급"),IF(X885&lt;=1.2,HYPERLINK("http://www.lxhausys.co.kr/popup/rn/download/downloadPopup.jsp?from=plwindow&amp;uu=/upload/window/REPORT/LGH-TW19-014.pdf","2등급"),IF(X885&lt;=1.8,HYPERLINK("http://www.lxhausys.co.kr/popup/rn/download/downloadPopup.jsp?from=plwindow&amp;uu=/upload/window/REPORT/LGH-TW19-014.pdf","3등급"),IF(X885&lt;=2.3,HYPERLINK("http://www.lxhausys.co.kr/popup/rn/download/downloadPopup.jsp?from=plwindow&amp;uu=/upload/window/REPORT/LGH-TW19-014.pdf","4등급"),IF(X885&lt;=2.8,HYPERLINK("http://www.lxhausys.co.kr/popup/rn/download/downloadPopup.jsp?from=plwindow&amp;uu=/upload/window/REPORT/LGH-TW19-014.pdf","5등급"),HYPERLINK("http://www.lxhausys.co.kr/popup/rn/download/downloadPopup.jsp?from=plwindow&amp;uu=/upload/window/REPORT/LGH-TW19-014.pdf","등급외"))))))</f>
        <v>2등급</v>
      </c>
      <c r="L885" s="5">
        <v>1.0189999999999999</v>
      </c>
      <c r="M885" s="5" t="s">
        <v>22</v>
      </c>
      <c r="N885" s="5" t="s">
        <v>607</v>
      </c>
      <c r="O885" s="5" t="s">
        <v>19</v>
      </c>
      <c r="P885" s="5" t="s">
        <v>19</v>
      </c>
      <c r="Q885" s="5" t="s">
        <v>19</v>
      </c>
      <c r="R885" s="5" t="s">
        <v>19</v>
      </c>
      <c r="S885" s="5" t="s">
        <v>19</v>
      </c>
      <c r="T885" s="5" t="s">
        <v>19</v>
      </c>
      <c r="U885" s="5" t="s">
        <v>19</v>
      </c>
      <c r="V885" s="5" t="s">
        <v>19</v>
      </c>
      <c r="W885" s="5" t="s">
        <v>19</v>
      </c>
      <c r="X885" s="19">
        <f t="shared" si="7"/>
        <v>1.0189999999999999</v>
      </c>
    </row>
    <row r="886" spans="1:24">
      <c r="A886" t="s">
        <v>125</v>
      </c>
      <c r="B886" t="s">
        <v>19</v>
      </c>
      <c r="C886" t="s">
        <v>20</v>
      </c>
      <c r="D886" t="s">
        <v>66</v>
      </c>
      <c r="E886" t="s">
        <v>19</v>
      </c>
      <c r="F886" t="s">
        <v>19</v>
      </c>
      <c r="G886" t="s">
        <v>19</v>
      </c>
      <c r="H886" t="s">
        <v>19</v>
      </c>
      <c r="I886" t="s">
        <v>19</v>
      </c>
      <c r="J886" t="s">
        <v>99</v>
      </c>
      <c r="K886" s="21" t="str">
        <f>IF(X886&lt;=0.9,HYPERLINK("http://www.lxhausys.co.kr/popup/rn/download/downloadPopup.jsp?from=plwindow&amp;uu=/upload/window/REPORT/LGH-TW19-015.pdf","1등급"),IF(X886&lt;=1.2,HYPERLINK("http://www.lxhausys.co.kr/popup/rn/download/downloadPopup.jsp?from=plwindow&amp;uu=/upload/window/REPORT/LGH-TW19-015.pdf","2등급"),IF(X886&lt;=1.8,HYPERLINK("http://www.lxhausys.co.kr/popup/rn/download/downloadPopup.jsp?from=plwindow&amp;uu=/upload/window/REPORT/LGH-TW19-015.pdf","3등급"),IF(X886&lt;=2.3,HYPERLINK("http://www.lxhausys.co.kr/popup/rn/download/downloadPopup.jsp?from=plwindow&amp;uu=/upload/window/REPORT/LGH-TW19-015.pdf","4등급"),IF(X886&lt;=2.8,HYPERLINK("http://www.lxhausys.co.kr/popup/rn/download/downloadPopup.jsp?from=plwindow&amp;uu=/upload/window/REPORT/LGH-TW19-015.pdf","5등급"),HYPERLINK("http://www.lxhausys.co.kr/popup/rn/download/downloadPopup.jsp?from=plwindow&amp;uu=/upload/window/REPORT/LGH-TW19-015.pdf","등급외"))))))</f>
        <v>4등급</v>
      </c>
      <c r="L886" s="5">
        <v>2.0329999999999999</v>
      </c>
      <c r="M886" s="5" t="s">
        <v>103</v>
      </c>
      <c r="N886" s="5" t="s">
        <v>607</v>
      </c>
      <c r="O886" s="5" t="s">
        <v>19</v>
      </c>
      <c r="P886" s="5" t="s">
        <v>19</v>
      </c>
      <c r="Q886" s="5" t="s">
        <v>19</v>
      </c>
      <c r="R886" s="5" t="s">
        <v>19</v>
      </c>
      <c r="S886" s="5" t="s">
        <v>19</v>
      </c>
      <c r="T886" s="5" t="s">
        <v>19</v>
      </c>
      <c r="U886" s="5" t="s">
        <v>19</v>
      </c>
      <c r="V886" s="5" t="s">
        <v>19</v>
      </c>
      <c r="W886" s="5" t="s">
        <v>19</v>
      </c>
      <c r="X886" s="19">
        <f t="shared" si="7"/>
        <v>2.0329999999999999</v>
      </c>
    </row>
    <row r="887" spans="1:24">
      <c r="A887" t="s">
        <v>125</v>
      </c>
      <c r="B887" t="s">
        <v>19</v>
      </c>
      <c r="C887" t="s">
        <v>20</v>
      </c>
      <c r="D887" t="s">
        <v>76</v>
      </c>
      <c r="E887" t="s">
        <v>19</v>
      </c>
      <c r="F887" t="s">
        <v>19</v>
      </c>
      <c r="G887" t="s">
        <v>19</v>
      </c>
      <c r="H887" t="s">
        <v>19</v>
      </c>
      <c r="I887" t="s">
        <v>19</v>
      </c>
      <c r="J887" t="s">
        <v>99</v>
      </c>
      <c r="K887" s="21" t="str">
        <f>IF(X887&lt;=0.9,HYPERLINK("http://www.lxhausys.co.kr/popup/rn/download/downloadPopup.jsp?from=plwindow&amp;uu=/upload/window/REPORT/LGH-TW19-016.pdf","1등급"),IF(X887&lt;=1.2,HYPERLINK("http://www.lxhausys.co.kr/popup/rn/download/downloadPopup.jsp?from=plwindow&amp;uu=/upload/window/REPORT/LGH-TW19-016.pdf","2등급"),IF(X887&lt;=1.8,HYPERLINK("http://www.lxhausys.co.kr/popup/rn/download/downloadPopup.jsp?from=plwindow&amp;uu=/upload/window/REPORT/LGH-TW19-016.pdf","3등급"),IF(X887&lt;=2.3,HYPERLINK("http://www.lxhausys.co.kr/popup/rn/download/downloadPopup.jsp?from=plwindow&amp;uu=/upload/window/REPORT/LGH-TW19-016.pdf","4등급"),IF(X887&lt;=2.8,HYPERLINK("http://www.lxhausys.co.kr/popup/rn/download/downloadPopup.jsp?from=plwindow&amp;uu=/upload/window/REPORT/LGH-TW19-016.pdf","5등급"),HYPERLINK("http://www.lxhausys.co.kr/popup/rn/download/downloadPopup.jsp?from=plwindow&amp;uu=/upload/window/REPORT/LGH-TW19-016.pdf","등급외"))))))</f>
        <v>4등급</v>
      </c>
      <c r="L887" s="5">
        <v>1.8280000000000001</v>
      </c>
      <c r="M887" s="5" t="s">
        <v>103</v>
      </c>
      <c r="N887" s="5" t="s">
        <v>607</v>
      </c>
      <c r="O887" s="5" t="s">
        <v>19</v>
      </c>
      <c r="P887" s="5" t="s">
        <v>19</v>
      </c>
      <c r="Q887" s="5" t="s">
        <v>19</v>
      </c>
      <c r="R887" s="5" t="s">
        <v>19</v>
      </c>
      <c r="S887" s="5" t="s">
        <v>19</v>
      </c>
      <c r="T887" s="5" t="s">
        <v>19</v>
      </c>
      <c r="U887" s="5" t="s">
        <v>19</v>
      </c>
      <c r="V887" s="5" t="s">
        <v>19</v>
      </c>
      <c r="W887" s="5" t="s">
        <v>19</v>
      </c>
      <c r="X887" s="19">
        <f t="shared" si="7"/>
        <v>1.8280000000000001</v>
      </c>
    </row>
    <row r="888" spans="1:24">
      <c r="A888" t="s">
        <v>139</v>
      </c>
      <c r="B888" t="s">
        <v>19</v>
      </c>
      <c r="C888" t="s">
        <v>20</v>
      </c>
      <c r="D888" t="s">
        <v>28</v>
      </c>
      <c r="E888" t="s">
        <v>228</v>
      </c>
      <c r="F888" t="s">
        <v>19</v>
      </c>
      <c r="G888" t="s">
        <v>182</v>
      </c>
      <c r="H888" t="s">
        <v>28</v>
      </c>
      <c r="I888" t="s">
        <v>19</v>
      </c>
      <c r="J888" t="s">
        <v>229</v>
      </c>
      <c r="K888" s="21" t="str">
        <f>IF(X888&lt;=0.9,HYPERLINK("http://www.lxhausys.co.kr/popup/rn/download/downloadPopup.jsp?from=plwindow&amp;uu=/upload/window/REPORT/LGH-TW19-017.pdf","1등급"),IF(X888&lt;=1.2,HYPERLINK("http://www.lxhausys.co.kr/popup/rn/download/downloadPopup.jsp?from=plwindow&amp;uu=/upload/window/REPORT/LGH-TW19-017.pdf","2등급"),IF(X888&lt;=1.8,HYPERLINK("http://www.lxhausys.co.kr/popup/rn/download/downloadPopup.jsp?from=plwindow&amp;uu=/upload/window/REPORT/LGH-TW19-017.pdf","3등급"),IF(X888&lt;=2.3,HYPERLINK("http://www.lxhausys.co.kr/popup/rn/download/downloadPopup.jsp?from=plwindow&amp;uu=/upload/window/REPORT/LGH-TW19-017.pdf","4등급"),IF(X888&lt;=2.8,HYPERLINK("http://www.lxhausys.co.kr/popup/rn/download/downloadPopup.jsp?from=plwindow&amp;uu=/upload/window/REPORT/LGH-TW19-017.pdf","5등급"),HYPERLINK("http://www.lxhausys.co.kr/popup/rn/download/downloadPopup.jsp?from=plwindow&amp;uu=/upload/window/REPORT/LGH-TW19-017.pdf","등급외"))))))</f>
        <v>2등급</v>
      </c>
      <c r="L888" s="5">
        <v>0.90799999999999992</v>
      </c>
      <c r="M888" s="5" t="s">
        <v>22</v>
      </c>
      <c r="N888" s="5" t="s">
        <v>607</v>
      </c>
      <c r="O888" s="5" t="s">
        <v>19</v>
      </c>
      <c r="P888" s="5" t="s">
        <v>19</v>
      </c>
      <c r="Q888" s="5" t="s">
        <v>19</v>
      </c>
      <c r="R888" s="5" t="s">
        <v>19</v>
      </c>
      <c r="S888" s="5" t="s">
        <v>19</v>
      </c>
      <c r="T888" s="5" t="s">
        <v>19</v>
      </c>
      <c r="U888" s="5" t="s">
        <v>19</v>
      </c>
      <c r="V888" s="5" t="s">
        <v>19</v>
      </c>
      <c r="W888" s="5" t="s">
        <v>19</v>
      </c>
      <c r="X888" s="19">
        <f t="shared" si="7"/>
        <v>0.90799999999999992</v>
      </c>
    </row>
    <row r="889" spans="1:24">
      <c r="A889" t="s">
        <v>130</v>
      </c>
      <c r="B889" t="s">
        <v>19</v>
      </c>
      <c r="C889" t="s">
        <v>20</v>
      </c>
      <c r="D889" t="s">
        <v>126</v>
      </c>
      <c r="E889" t="s">
        <v>19</v>
      </c>
      <c r="F889" t="s">
        <v>19</v>
      </c>
      <c r="G889" t="s">
        <v>19</v>
      </c>
      <c r="H889" t="s">
        <v>19</v>
      </c>
      <c r="I889" t="s">
        <v>19</v>
      </c>
      <c r="J889" t="s">
        <v>97</v>
      </c>
      <c r="K889" s="21" t="str">
        <f>IF(X889&lt;=0.9,HYPERLINK("http://www.lxhausys.co.kr/popup/rn/download/downloadPopup.jsp?from=plwindow&amp;uu=/upload/window/REPORT/LGH-TW19-018.pdf","1등급"),IF(X889&lt;=1.2,HYPERLINK("http://www.lxhausys.co.kr/popup/rn/download/downloadPopup.jsp?from=plwindow&amp;uu=/upload/window/REPORT/LGH-TW19-018.pdf","2등급"),IF(X889&lt;=1.8,HYPERLINK("http://www.lxhausys.co.kr/popup/rn/download/downloadPopup.jsp?from=plwindow&amp;uu=/upload/window/REPORT/LGH-TW19-018.pdf","3등급"),IF(X889&lt;=2.3,HYPERLINK("http://www.lxhausys.co.kr/popup/rn/download/downloadPopup.jsp?from=plwindow&amp;uu=/upload/window/REPORT/LGH-TW19-018.pdf","4등급"),IF(X889&lt;=2.8,HYPERLINK("http://www.lxhausys.co.kr/popup/rn/download/downloadPopup.jsp?from=plwindow&amp;uu=/upload/window/REPORT/LGH-TW19-018.pdf","5등급"),HYPERLINK("http://www.lxhausys.co.kr/popup/rn/download/downloadPopup.jsp?from=plwindow&amp;uu=/upload/window/REPORT/LGH-TW19-018.pdf","등급외"))))))</f>
        <v>4등급</v>
      </c>
      <c r="L889" s="5">
        <v>1.845</v>
      </c>
      <c r="M889" s="5" t="s">
        <v>103</v>
      </c>
      <c r="N889" s="5" t="s">
        <v>607</v>
      </c>
      <c r="O889" s="5" t="s">
        <v>19</v>
      </c>
      <c r="P889" s="5" t="s">
        <v>19</v>
      </c>
      <c r="Q889" s="5" t="s">
        <v>19</v>
      </c>
      <c r="R889" s="5" t="s">
        <v>19</v>
      </c>
      <c r="S889" s="5" t="s">
        <v>19</v>
      </c>
      <c r="T889" s="5" t="s">
        <v>19</v>
      </c>
      <c r="U889" s="5" t="s">
        <v>19</v>
      </c>
      <c r="V889" s="5" t="s">
        <v>19</v>
      </c>
      <c r="W889" s="5" t="s">
        <v>19</v>
      </c>
      <c r="X889" s="19">
        <f t="shared" si="7"/>
        <v>1.845</v>
      </c>
    </row>
    <row r="890" spans="1:24">
      <c r="A890" t="s">
        <v>144</v>
      </c>
      <c r="B890" t="s">
        <v>19</v>
      </c>
      <c r="C890" t="s">
        <v>20</v>
      </c>
      <c r="D890" t="s">
        <v>68</v>
      </c>
      <c r="E890" t="s">
        <v>19</v>
      </c>
      <c r="F890" t="s">
        <v>19</v>
      </c>
      <c r="G890" t="s">
        <v>19</v>
      </c>
      <c r="H890" t="s">
        <v>126</v>
      </c>
      <c r="I890" t="s">
        <v>19</v>
      </c>
      <c r="J890" t="s">
        <v>74</v>
      </c>
      <c r="K890" s="21" t="str">
        <f>IF(X890&lt;=0.9,HYPERLINK("http://www.lxhausys.co.kr/popup/rn/download/downloadPopup.jsp?from=plwindow&amp;uu=/upload/window/REPORT/LGH-TW19-019.pdf","1등급"),IF(X890&lt;=1.2,HYPERLINK("http://www.lxhausys.co.kr/popup/rn/download/downloadPopup.jsp?from=plwindow&amp;uu=/upload/window/REPORT/LGH-TW19-019.pdf","2등급"),IF(X890&lt;=1.8,HYPERLINK("http://www.lxhausys.co.kr/popup/rn/download/downloadPopup.jsp?from=plwindow&amp;uu=/upload/window/REPORT/LGH-TW19-019.pdf","3등급"),IF(X890&lt;=2.3,HYPERLINK("http://www.lxhausys.co.kr/popup/rn/download/downloadPopup.jsp?from=plwindow&amp;uu=/upload/window/REPORT/LGH-TW19-019.pdf","4등급"),IF(X890&lt;=2.8,HYPERLINK("http://www.lxhausys.co.kr/popup/rn/download/downloadPopup.jsp?from=plwindow&amp;uu=/upload/window/REPORT/LGH-TW19-019.pdf","5등급"),HYPERLINK("http://www.lxhausys.co.kr/popup/rn/download/downloadPopup.jsp?from=plwindow&amp;uu=/upload/window/REPORT/LGH-TW19-019.pdf","등급외"))))))</f>
        <v>2등급</v>
      </c>
      <c r="L890" s="5">
        <v>0.91200000000000003</v>
      </c>
      <c r="M890" s="5" t="s">
        <v>22</v>
      </c>
      <c r="N890" s="5" t="s">
        <v>607</v>
      </c>
      <c r="O890" s="5" t="s">
        <v>19</v>
      </c>
      <c r="P890" s="5" t="s">
        <v>19</v>
      </c>
      <c r="Q890" s="5" t="s">
        <v>19</v>
      </c>
      <c r="R890" s="5" t="s">
        <v>19</v>
      </c>
      <c r="S890" s="5" t="s">
        <v>19</v>
      </c>
      <c r="T890" s="5" t="s">
        <v>19</v>
      </c>
      <c r="U890" s="5" t="s">
        <v>19</v>
      </c>
      <c r="V890" s="5" t="s">
        <v>19</v>
      </c>
      <c r="W890" s="5" t="s">
        <v>19</v>
      </c>
      <c r="X890" s="19">
        <f t="shared" si="7"/>
        <v>0.91200000000000003</v>
      </c>
    </row>
    <row r="891" spans="1:24">
      <c r="A891" t="s">
        <v>100</v>
      </c>
      <c r="B891" t="s">
        <v>19</v>
      </c>
      <c r="C891" t="s">
        <v>20</v>
      </c>
      <c r="D891" t="s">
        <v>68</v>
      </c>
      <c r="E891" t="s">
        <v>19</v>
      </c>
      <c r="F891" t="s">
        <v>19</v>
      </c>
      <c r="G891" t="s">
        <v>19</v>
      </c>
      <c r="H891" t="s">
        <v>126</v>
      </c>
      <c r="I891" t="s">
        <v>19</v>
      </c>
      <c r="J891" t="s">
        <v>97</v>
      </c>
      <c r="K891" s="21" t="str">
        <f>IF(X891&lt;=0.9,HYPERLINK("http://www.lxhausys.co.kr/popup/rn/download/downloadPopup.jsp?from=plwindow&amp;uu=/upload/window/REPORT/LGH-TW19-020.pdf","1등급"),IF(X891&lt;=1.2,HYPERLINK("http://www.lxhausys.co.kr/popup/rn/download/downloadPopup.jsp?from=plwindow&amp;uu=/upload/window/REPORT/LGH-TW19-020.pdf","2등급"),IF(X891&lt;=1.8,HYPERLINK("http://www.lxhausys.co.kr/popup/rn/download/downloadPopup.jsp?from=plwindow&amp;uu=/upload/window/REPORT/LGH-TW19-020.pdf","3등급"),IF(X891&lt;=2.3,HYPERLINK("http://www.lxhausys.co.kr/popup/rn/download/downloadPopup.jsp?from=plwindow&amp;uu=/upload/window/REPORT/LGH-TW19-020.pdf","4등급"),IF(X891&lt;=2.8,HYPERLINK("http://www.lxhausys.co.kr/popup/rn/download/downloadPopup.jsp?from=plwindow&amp;uu=/upload/window/REPORT/LGH-TW19-020.pdf","5등급"),HYPERLINK("http://www.lxhausys.co.kr/popup/rn/download/downloadPopup.jsp?from=plwindow&amp;uu=/upload/window/REPORT/LGH-TW19-020.pdf","등급외"))))))</f>
        <v>2등급</v>
      </c>
      <c r="L891" s="5">
        <v>0.91700000000000004</v>
      </c>
      <c r="M891" s="5" t="s">
        <v>22</v>
      </c>
      <c r="N891" s="5" t="s">
        <v>607</v>
      </c>
      <c r="O891" s="5" t="s">
        <v>19</v>
      </c>
      <c r="P891" s="5" t="s">
        <v>19</v>
      </c>
      <c r="Q891" s="5" t="s">
        <v>19</v>
      </c>
      <c r="R891" s="5" t="s">
        <v>19</v>
      </c>
      <c r="S891" s="5" t="s">
        <v>19</v>
      </c>
      <c r="T891" s="5" t="s">
        <v>19</v>
      </c>
      <c r="U891" s="5" t="s">
        <v>19</v>
      </c>
      <c r="V891" s="5" t="s">
        <v>19</v>
      </c>
      <c r="W891" s="5" t="s">
        <v>19</v>
      </c>
      <c r="X891" s="19">
        <f t="shared" si="7"/>
        <v>0.91700000000000004</v>
      </c>
    </row>
    <row r="892" spans="1:24">
      <c r="A892" t="s">
        <v>100</v>
      </c>
      <c r="B892" t="s">
        <v>19</v>
      </c>
      <c r="C892" t="s">
        <v>20</v>
      </c>
      <c r="D892" t="s">
        <v>68</v>
      </c>
      <c r="E892" t="s">
        <v>19</v>
      </c>
      <c r="F892" t="s">
        <v>19</v>
      </c>
      <c r="G892" t="s">
        <v>19</v>
      </c>
      <c r="H892" t="s">
        <v>68</v>
      </c>
      <c r="I892" t="s">
        <v>19</v>
      </c>
      <c r="J892" t="s">
        <v>74</v>
      </c>
      <c r="K892" s="21" t="str">
        <f>IF(X892&lt;=0.9,HYPERLINK("http://www.lxhausys.co.kr/popup/rn/download/downloadPopup.jsp?from=plwindow&amp;uu=/upload/window/REPORT/LGH-TW19-021.pdf","1등급"),IF(X892&lt;=1.2,HYPERLINK("http://www.lxhausys.co.kr/popup/rn/download/downloadPopup.jsp?from=plwindow&amp;uu=/upload/window/REPORT/LGH-TW19-021.pdf","2등급"),IF(X892&lt;=1.8,HYPERLINK("http://www.lxhausys.co.kr/popup/rn/download/downloadPopup.jsp?from=plwindow&amp;uu=/upload/window/REPORT/LGH-TW19-021.pdf","3등급"),IF(X892&lt;=2.3,HYPERLINK("http://www.lxhausys.co.kr/popup/rn/download/downloadPopup.jsp?from=plwindow&amp;uu=/upload/window/REPORT/LGH-TW19-021.pdf","4등급"),IF(X892&lt;=2.8,HYPERLINK("http://www.lxhausys.co.kr/popup/rn/download/downloadPopup.jsp?from=plwindow&amp;uu=/upload/window/REPORT/LGH-TW19-021.pdf","5등급"),HYPERLINK("http://www.lxhausys.co.kr/popup/rn/download/downloadPopup.jsp?from=plwindow&amp;uu=/upload/window/REPORT/LGH-TW19-021.pdf","등급외"))))))</f>
        <v>3등급</v>
      </c>
      <c r="L892" s="5">
        <v>1.339</v>
      </c>
      <c r="M892" s="5" t="s">
        <v>22</v>
      </c>
      <c r="N892" s="5" t="s">
        <v>607</v>
      </c>
      <c r="O892" s="5" t="s">
        <v>19</v>
      </c>
      <c r="P892" s="5" t="s">
        <v>19</v>
      </c>
      <c r="Q892" s="5" t="s">
        <v>19</v>
      </c>
      <c r="R892" s="5" t="s">
        <v>19</v>
      </c>
      <c r="S892" s="5" t="s">
        <v>19</v>
      </c>
      <c r="T892" s="5" t="s">
        <v>19</v>
      </c>
      <c r="U892" s="5" t="s">
        <v>19</v>
      </c>
      <c r="V892" s="5" t="s">
        <v>19</v>
      </c>
      <c r="W892" s="5" t="s">
        <v>19</v>
      </c>
      <c r="X892" s="19">
        <f t="shared" si="7"/>
        <v>1.339</v>
      </c>
    </row>
    <row r="893" spans="1:24">
      <c r="A893" t="s">
        <v>61</v>
      </c>
      <c r="B893" t="s">
        <v>19</v>
      </c>
      <c r="C893" t="s">
        <v>20</v>
      </c>
      <c r="D893" t="s">
        <v>102</v>
      </c>
      <c r="E893" t="s">
        <v>19</v>
      </c>
      <c r="F893" t="s">
        <v>19</v>
      </c>
      <c r="G893" t="s">
        <v>19</v>
      </c>
      <c r="H893" t="s">
        <v>19</v>
      </c>
      <c r="I893" t="s">
        <v>19</v>
      </c>
      <c r="J893" t="s">
        <v>74</v>
      </c>
      <c r="K893" s="21" t="str">
        <f>IF(X893&lt;=0.9,HYPERLINK("http://www.lxhausys.co.kr/popup/rn/download/downloadPopup.jsp?from=plwindow&amp;uu=/upload/window/REPORT/LGH-TW19-022.pdf","1등급"),IF(X893&lt;=1.2,HYPERLINK("http://www.lxhausys.co.kr/popup/rn/download/downloadPopup.jsp?from=plwindow&amp;uu=/upload/window/REPORT/LGH-TW19-022.pdf","2등급"),IF(X893&lt;=1.8,HYPERLINK("http://www.lxhausys.co.kr/popup/rn/download/downloadPopup.jsp?from=plwindow&amp;uu=/upload/window/REPORT/LGH-TW19-022.pdf","3등급"),IF(X893&lt;=2.3,HYPERLINK("http://www.lxhausys.co.kr/popup/rn/download/downloadPopup.jsp?from=plwindow&amp;uu=/upload/window/REPORT/LGH-TW19-022.pdf","4등급"),IF(X893&lt;=2.8,HYPERLINK("http://www.lxhausys.co.kr/popup/rn/download/downloadPopup.jsp?from=plwindow&amp;uu=/upload/window/REPORT/LGH-TW19-022.pdf","5등급"),HYPERLINK("http://www.lxhausys.co.kr/popup/rn/download/downloadPopup.jsp?from=plwindow&amp;uu=/upload/window/REPORT/LGH-TW19-022.pdf","등급외"))))))</f>
        <v>4등급</v>
      </c>
      <c r="L893" s="5">
        <v>2.2679999999999998</v>
      </c>
      <c r="M893" s="5" t="s">
        <v>103</v>
      </c>
      <c r="N893" s="5" t="s">
        <v>607</v>
      </c>
      <c r="O893" s="5" t="s">
        <v>19</v>
      </c>
      <c r="P893" s="5" t="s">
        <v>19</v>
      </c>
      <c r="Q893" s="5" t="s">
        <v>19</v>
      </c>
      <c r="R893" s="5" t="s">
        <v>19</v>
      </c>
      <c r="S893" s="5" t="s">
        <v>19</v>
      </c>
      <c r="T893" s="5" t="s">
        <v>19</v>
      </c>
      <c r="U893" s="5" t="s">
        <v>19</v>
      </c>
      <c r="V893" s="5" t="s">
        <v>19</v>
      </c>
      <c r="W893" s="5" t="s">
        <v>19</v>
      </c>
      <c r="X893" s="19">
        <f t="shared" si="7"/>
        <v>2.2679999999999998</v>
      </c>
    </row>
    <row r="894" spans="1:24">
      <c r="A894" t="s">
        <v>62</v>
      </c>
      <c r="B894" t="s">
        <v>19</v>
      </c>
      <c r="C894" t="s">
        <v>20</v>
      </c>
      <c r="D894" t="s">
        <v>68</v>
      </c>
      <c r="E894" t="s">
        <v>19</v>
      </c>
      <c r="F894" t="s">
        <v>19</v>
      </c>
      <c r="G894" t="s">
        <v>19</v>
      </c>
      <c r="H894" t="s">
        <v>126</v>
      </c>
      <c r="I894" t="s">
        <v>19</v>
      </c>
      <c r="J894" t="s">
        <v>74</v>
      </c>
      <c r="K894" s="21" t="str">
        <f>IF(X894&lt;=0.9,HYPERLINK("http://www.lxhausys.co.kr/popup/rn/download/downloadPopup.jsp?from=plwindow&amp;uu=/upload/window/REPORT/LGH-TW19-023.pdf","1등급"),IF(X894&lt;=1.2,HYPERLINK("http://www.lxhausys.co.kr/popup/rn/download/downloadPopup.jsp?from=plwindow&amp;uu=/upload/window/REPORT/LGH-TW19-023.pdf","2등급"),IF(X894&lt;=1.8,HYPERLINK("http://www.lxhausys.co.kr/popup/rn/download/downloadPopup.jsp?from=plwindow&amp;uu=/upload/window/REPORT/LGH-TW19-023.pdf","3등급"),IF(X894&lt;=2.3,HYPERLINK("http://www.lxhausys.co.kr/popup/rn/download/downloadPopup.jsp?from=plwindow&amp;uu=/upload/window/REPORT/LGH-TW19-023.pdf","4등급"),IF(X894&lt;=2.8,HYPERLINK("http://www.lxhausys.co.kr/popup/rn/download/downloadPopup.jsp?from=plwindow&amp;uu=/upload/window/REPORT/LGH-TW19-023.pdf","5등급"),HYPERLINK("http://www.lxhausys.co.kr/popup/rn/download/downloadPopup.jsp?from=plwindow&amp;uu=/upload/window/REPORT/LGH-TW19-023.pdf","등급외"))))))</f>
        <v>2등급</v>
      </c>
      <c r="L894" s="5">
        <v>0.96900000000000008</v>
      </c>
      <c r="M894" s="5" t="s">
        <v>22</v>
      </c>
      <c r="N894" s="5" t="s">
        <v>607</v>
      </c>
      <c r="O894" s="5" t="s">
        <v>19</v>
      </c>
      <c r="P894" s="5" t="s">
        <v>19</v>
      </c>
      <c r="Q894" s="5" t="s">
        <v>19</v>
      </c>
      <c r="R894" s="5" t="s">
        <v>19</v>
      </c>
      <c r="S894" s="5" t="s">
        <v>19</v>
      </c>
      <c r="T894" s="5" t="s">
        <v>19</v>
      </c>
      <c r="U894" s="5" t="s">
        <v>19</v>
      </c>
      <c r="V894" s="5" t="s">
        <v>19</v>
      </c>
      <c r="W894" s="5" t="s">
        <v>19</v>
      </c>
      <c r="X894" s="19">
        <f t="shared" si="7"/>
        <v>0.96900000000000008</v>
      </c>
    </row>
    <row r="895" spans="1:24">
      <c r="A895" t="s">
        <v>62</v>
      </c>
      <c r="B895" t="s">
        <v>19</v>
      </c>
      <c r="C895" t="s">
        <v>20</v>
      </c>
      <c r="D895" t="s">
        <v>68</v>
      </c>
      <c r="E895" t="s">
        <v>19</v>
      </c>
      <c r="F895" t="s">
        <v>19</v>
      </c>
      <c r="G895" t="s">
        <v>19</v>
      </c>
      <c r="H895" t="s">
        <v>68</v>
      </c>
      <c r="I895" t="s">
        <v>19</v>
      </c>
      <c r="J895" t="s">
        <v>74</v>
      </c>
      <c r="K895" s="21" t="str">
        <f>IF(X895&lt;=0.9,HYPERLINK("http://www.lxhausys.co.kr/popup/rn/download/downloadPopup.jsp?from=plwindow&amp;uu=/upload/window/REPORT/LGH-TW19-025.pdf","1등급"),IF(X895&lt;=1.2,HYPERLINK("http://www.lxhausys.co.kr/popup/rn/download/downloadPopup.jsp?from=plwindow&amp;uu=/upload/window/REPORT/LGH-TW19-025.pdf","2등급"),IF(X895&lt;=1.8,HYPERLINK("http://www.lxhausys.co.kr/popup/rn/download/downloadPopup.jsp?from=plwindow&amp;uu=/upload/window/REPORT/LGH-TW19-025.pdf","3등급"),IF(X895&lt;=2.3,HYPERLINK("http://www.lxhausys.co.kr/popup/rn/download/downloadPopup.jsp?from=plwindow&amp;uu=/upload/window/REPORT/LGH-TW19-025.pdf","4등급"),IF(X895&lt;=2.8,HYPERLINK("http://www.lxhausys.co.kr/popup/rn/download/downloadPopup.jsp?from=plwindow&amp;uu=/upload/window/REPORT/LGH-TW19-025.pdf","5등급"),HYPERLINK("http://www.lxhausys.co.kr/popup/rn/download/downloadPopup.jsp?from=plwindow&amp;uu=/upload/window/REPORT/LGH-TW19-025.pdf","등급외"))))))</f>
        <v>3등급</v>
      </c>
      <c r="L895" s="5">
        <v>1.3660000000000001</v>
      </c>
      <c r="M895" s="5" t="s">
        <v>22</v>
      </c>
      <c r="N895" s="5" t="s">
        <v>607</v>
      </c>
      <c r="O895" s="5" t="s">
        <v>19</v>
      </c>
      <c r="P895" s="5" t="s">
        <v>19</v>
      </c>
      <c r="Q895" s="5" t="s">
        <v>19</v>
      </c>
      <c r="R895" s="5" t="s">
        <v>19</v>
      </c>
      <c r="S895" s="5" t="s">
        <v>19</v>
      </c>
      <c r="T895" s="5" t="s">
        <v>19</v>
      </c>
      <c r="U895" s="5" t="s">
        <v>19</v>
      </c>
      <c r="V895" s="5" t="s">
        <v>19</v>
      </c>
      <c r="W895" s="5" t="s">
        <v>19</v>
      </c>
      <c r="X895" s="19">
        <f t="shared" si="7"/>
        <v>1.3660000000000001</v>
      </c>
    </row>
    <row r="896" spans="1:24">
      <c r="A896" t="s">
        <v>125</v>
      </c>
      <c r="B896" t="s">
        <v>19</v>
      </c>
      <c r="C896" t="s">
        <v>20</v>
      </c>
      <c r="D896" t="s">
        <v>126</v>
      </c>
      <c r="E896" t="s">
        <v>19</v>
      </c>
      <c r="F896" t="s">
        <v>19</v>
      </c>
      <c r="G896" t="s">
        <v>19</v>
      </c>
      <c r="H896" t="s">
        <v>19</v>
      </c>
      <c r="I896" t="s">
        <v>19</v>
      </c>
      <c r="J896" t="s">
        <v>74</v>
      </c>
      <c r="K896" s="21" t="str">
        <f>IF(X896&lt;=0.9,HYPERLINK("http://www.lxhausys.co.kr/popup/rn/download/downloadPopup.jsp?from=plwindow&amp;uu=/upload/window/REPORT/LGH-TW19-026.pdf","1등급"),IF(X896&lt;=1.2,HYPERLINK("http://www.lxhausys.co.kr/popup/rn/download/downloadPopup.jsp?from=plwindow&amp;uu=/upload/window/REPORT/LGH-TW19-026.pdf","2등급"),IF(X896&lt;=1.8,HYPERLINK("http://www.lxhausys.co.kr/popup/rn/download/downloadPopup.jsp?from=plwindow&amp;uu=/upload/window/REPORT/LGH-TW19-026.pdf","3등급"),IF(X896&lt;=2.3,HYPERLINK("http://www.lxhausys.co.kr/popup/rn/download/downloadPopup.jsp?from=plwindow&amp;uu=/upload/window/REPORT/LGH-TW19-026.pdf","4등급"),IF(X896&lt;=2.8,HYPERLINK("http://www.lxhausys.co.kr/popup/rn/download/downloadPopup.jsp?from=plwindow&amp;uu=/upload/window/REPORT/LGH-TW19-026.pdf","5등급"),HYPERLINK("http://www.lxhausys.co.kr/popup/rn/download/downloadPopup.jsp?from=plwindow&amp;uu=/upload/window/REPORT/LGH-TW19-026.pdf","등급외"))))))</f>
        <v>4등급</v>
      </c>
      <c r="L896" s="5">
        <v>1.869</v>
      </c>
      <c r="M896" s="5" t="s">
        <v>103</v>
      </c>
      <c r="N896" s="5" t="s">
        <v>607</v>
      </c>
      <c r="O896" s="5" t="s">
        <v>19</v>
      </c>
      <c r="P896" s="5" t="s">
        <v>19</v>
      </c>
      <c r="Q896" s="5" t="s">
        <v>19</v>
      </c>
      <c r="R896" s="5" t="s">
        <v>19</v>
      </c>
      <c r="S896" s="5" t="s">
        <v>19</v>
      </c>
      <c r="T896" s="5" t="s">
        <v>19</v>
      </c>
      <c r="U896" s="5" t="s">
        <v>19</v>
      </c>
      <c r="V896" s="5" t="s">
        <v>19</v>
      </c>
      <c r="W896" s="5" t="s">
        <v>19</v>
      </c>
      <c r="X896" s="19">
        <f t="shared" si="7"/>
        <v>1.869</v>
      </c>
    </row>
    <row r="897" spans="1:24">
      <c r="A897" t="s">
        <v>125</v>
      </c>
      <c r="B897" t="s">
        <v>19</v>
      </c>
      <c r="C897" t="s">
        <v>20</v>
      </c>
      <c r="D897" t="s">
        <v>68</v>
      </c>
      <c r="E897" t="s">
        <v>19</v>
      </c>
      <c r="F897" t="s">
        <v>19</v>
      </c>
      <c r="G897" t="s">
        <v>19</v>
      </c>
      <c r="H897" t="s">
        <v>19</v>
      </c>
      <c r="I897" t="s">
        <v>19</v>
      </c>
      <c r="J897" t="s">
        <v>99</v>
      </c>
      <c r="K897" s="21" t="str">
        <f>IF(X897&lt;=0.9,HYPERLINK("http://www.lxhausys.co.kr/popup/rn/download/downloadPopup.jsp?from=plwindow&amp;uu=/upload/window/REPORT/LGH-TW19-027.pdf","1등급"),IF(X897&lt;=1.2,HYPERLINK("http://www.lxhausys.co.kr/popup/rn/download/downloadPopup.jsp?from=plwindow&amp;uu=/upload/window/REPORT/LGH-TW19-027.pdf","2등급"),IF(X897&lt;=1.8,HYPERLINK("http://www.lxhausys.co.kr/popup/rn/download/downloadPopup.jsp?from=plwindow&amp;uu=/upload/window/REPORT/LGH-TW19-027.pdf","3등급"),IF(X897&lt;=2.3,HYPERLINK("http://www.lxhausys.co.kr/popup/rn/download/downloadPopup.jsp?from=plwindow&amp;uu=/upload/window/REPORT/LGH-TW19-027.pdf","4등급"),IF(X897&lt;=2.8,HYPERLINK("http://www.lxhausys.co.kr/popup/rn/download/downloadPopup.jsp?from=plwindow&amp;uu=/upload/window/REPORT/LGH-TW19-027.pdf","5등급"),HYPERLINK("http://www.lxhausys.co.kr/popup/rn/download/downloadPopup.jsp?from=plwindow&amp;uu=/upload/window/REPORT/LGH-TW19-027.pdf","등급외"))))))</f>
        <v>등급외</v>
      </c>
      <c r="L897" s="5">
        <v>3.145</v>
      </c>
      <c r="M897" s="5" t="s">
        <v>103</v>
      </c>
      <c r="N897" s="5" t="s">
        <v>607</v>
      </c>
      <c r="O897" s="5" t="s">
        <v>19</v>
      </c>
      <c r="P897" s="5" t="s">
        <v>19</v>
      </c>
      <c r="Q897" s="5" t="s">
        <v>19</v>
      </c>
      <c r="R897" s="5" t="s">
        <v>19</v>
      </c>
      <c r="S897" s="5" t="s">
        <v>19</v>
      </c>
      <c r="T897" s="5" t="s">
        <v>19</v>
      </c>
      <c r="U897" s="5" t="s">
        <v>19</v>
      </c>
      <c r="V897" s="5" t="s">
        <v>19</v>
      </c>
      <c r="W897" s="5" t="s">
        <v>19</v>
      </c>
      <c r="X897" s="19">
        <f t="shared" si="7"/>
        <v>3.145</v>
      </c>
    </row>
    <row r="898" spans="1:24">
      <c r="A898" t="s">
        <v>144</v>
      </c>
      <c r="B898" t="s">
        <v>19</v>
      </c>
      <c r="C898" t="s">
        <v>31</v>
      </c>
      <c r="D898" t="s">
        <v>25</v>
      </c>
      <c r="E898" t="s">
        <v>19</v>
      </c>
      <c r="F898" t="s">
        <v>19</v>
      </c>
      <c r="G898" t="s">
        <v>19</v>
      </c>
      <c r="H898" t="s">
        <v>28</v>
      </c>
      <c r="I898" t="s">
        <v>19</v>
      </c>
      <c r="J898" t="s">
        <v>74</v>
      </c>
      <c r="K898" s="21" t="s">
        <v>607</v>
      </c>
      <c r="L898" s="5" t="s">
        <v>19</v>
      </c>
      <c r="M898" s="5" t="s">
        <v>19</v>
      </c>
      <c r="N898" s="5" t="s">
        <v>19</v>
      </c>
      <c r="O898" s="5" t="str">
        <f>HYPERLINK("http://www.lghausys.co.kr/popup/rn/download/downloadPopup.jsp?from=plwindow&amp;uu=/upload/window/REPORT/LGH-WA19-063.pdf","1등급")</f>
        <v>1등급</v>
      </c>
      <c r="P898" s="5" t="s">
        <v>19</v>
      </c>
      <c r="Q898" s="5" t="s">
        <v>19</v>
      </c>
      <c r="R898" s="5" t="s">
        <v>19</v>
      </c>
      <c r="S898" s="5" t="s">
        <v>19</v>
      </c>
      <c r="T898" s="5" t="s">
        <v>19</v>
      </c>
      <c r="U898" s="5" t="s">
        <v>19</v>
      </c>
      <c r="V898" s="5" t="s">
        <v>19</v>
      </c>
      <c r="W898" s="5" t="s">
        <v>152</v>
      </c>
      <c r="X898"/>
    </row>
    <row r="899" spans="1:24">
      <c r="A899" t="s">
        <v>144</v>
      </c>
      <c r="B899" t="s">
        <v>19</v>
      </c>
      <c r="C899" t="s">
        <v>31</v>
      </c>
      <c r="D899" t="s">
        <v>25</v>
      </c>
      <c r="E899" t="s">
        <v>19</v>
      </c>
      <c r="F899" t="s">
        <v>19</v>
      </c>
      <c r="G899" t="s">
        <v>19</v>
      </c>
      <c r="H899" t="s">
        <v>25</v>
      </c>
      <c r="I899" t="s">
        <v>19</v>
      </c>
      <c r="J899" t="s">
        <v>74</v>
      </c>
      <c r="K899" s="21" t="s">
        <v>607</v>
      </c>
      <c r="L899" s="5" t="s">
        <v>19</v>
      </c>
      <c r="M899" s="5" t="s">
        <v>19</v>
      </c>
      <c r="N899" s="5" t="s">
        <v>19</v>
      </c>
      <c r="O899" s="5" t="str">
        <f>HYPERLINK("http://www.lghausys.co.kr/popup/rn/download/downloadPopup.jsp?from=plwindow&amp;uu=/upload/window/REPORT/LGH-WA19-064.pdf","1등급")</f>
        <v>1등급</v>
      </c>
      <c r="P899" s="5" t="s">
        <v>19</v>
      </c>
      <c r="Q899" s="5" t="s">
        <v>19</v>
      </c>
      <c r="R899" s="5" t="s">
        <v>19</v>
      </c>
      <c r="S899" s="5" t="s">
        <v>19</v>
      </c>
      <c r="T899" s="5" t="s">
        <v>19</v>
      </c>
      <c r="U899" s="5" t="s">
        <v>19</v>
      </c>
      <c r="V899" s="5" t="s">
        <v>19</v>
      </c>
      <c r="W899" s="5" t="s">
        <v>152</v>
      </c>
      <c r="X899"/>
    </row>
    <row r="900" spans="1:24">
      <c r="A900" t="s">
        <v>144</v>
      </c>
      <c r="B900" t="s">
        <v>19</v>
      </c>
      <c r="C900" t="s">
        <v>31</v>
      </c>
      <c r="D900" t="s">
        <v>41</v>
      </c>
      <c r="E900" t="s">
        <v>19</v>
      </c>
      <c r="F900" t="s">
        <v>19</v>
      </c>
      <c r="G900" t="s">
        <v>19</v>
      </c>
      <c r="H900" t="s">
        <v>41</v>
      </c>
      <c r="I900" t="s">
        <v>19</v>
      </c>
      <c r="J900" t="s">
        <v>74</v>
      </c>
      <c r="K900" s="21" t="s">
        <v>607</v>
      </c>
      <c r="L900" s="5" t="s">
        <v>19</v>
      </c>
      <c r="M900" s="5" t="s">
        <v>19</v>
      </c>
      <c r="N900" s="5" t="s">
        <v>19</v>
      </c>
      <c r="O900" s="5" t="str">
        <f>HYPERLINK("http://www.lghausys.co.kr/popup/rn/download/downloadPopup.jsp?from=plwindow&amp;uu=/upload/window/REPORT/LGH-WA19-065.pdf","1등급")</f>
        <v>1등급</v>
      </c>
      <c r="P900" s="5" t="s">
        <v>19</v>
      </c>
      <c r="Q900" s="5" t="s">
        <v>19</v>
      </c>
      <c r="R900" s="5" t="s">
        <v>19</v>
      </c>
      <c r="S900" s="5" t="s">
        <v>19</v>
      </c>
      <c r="T900" s="5" t="s">
        <v>19</v>
      </c>
      <c r="U900" s="5" t="s">
        <v>19</v>
      </c>
      <c r="V900" s="5" t="s">
        <v>19</v>
      </c>
      <c r="W900" s="5" t="s">
        <v>152</v>
      </c>
      <c r="X900"/>
    </row>
    <row r="901" spans="1:24">
      <c r="A901" t="s">
        <v>135</v>
      </c>
      <c r="B901" t="s">
        <v>19</v>
      </c>
      <c r="C901" t="s">
        <v>31</v>
      </c>
      <c r="D901" t="s">
        <v>21</v>
      </c>
      <c r="E901" t="s">
        <v>238</v>
      </c>
      <c r="F901" t="s">
        <v>19</v>
      </c>
      <c r="G901" t="s">
        <v>19</v>
      </c>
      <c r="H901" t="s">
        <v>21</v>
      </c>
      <c r="I901" t="s">
        <v>19</v>
      </c>
      <c r="J901" t="s">
        <v>74</v>
      </c>
      <c r="K901" s="21" t="s">
        <v>607</v>
      </c>
      <c r="L901" s="5" t="s">
        <v>19</v>
      </c>
      <c r="M901" s="5" t="s">
        <v>19</v>
      </c>
      <c r="N901" s="5" t="s">
        <v>19</v>
      </c>
      <c r="O901" s="5" t="str">
        <f>HYPERLINK("http://www.lghausys.co.kr/popup/rn/download/downloadPopup.jsp?from=plwindow&amp;uu=/upload/window/REPORT/LGH-WA19-066.pdf","1등급")</f>
        <v>1등급</v>
      </c>
      <c r="P901" s="5" t="s">
        <v>19</v>
      </c>
      <c r="Q901" s="5" t="s">
        <v>19</v>
      </c>
      <c r="R901" s="5" t="s">
        <v>19</v>
      </c>
      <c r="S901" s="5" t="s">
        <v>19</v>
      </c>
      <c r="T901" s="5" t="s">
        <v>19</v>
      </c>
      <c r="U901" s="5" t="s">
        <v>19</v>
      </c>
      <c r="V901" s="5" t="s">
        <v>19</v>
      </c>
      <c r="W901" s="5" t="s">
        <v>152</v>
      </c>
      <c r="X901"/>
    </row>
    <row r="902" spans="1:24">
      <c r="A902" t="s">
        <v>135</v>
      </c>
      <c r="B902" t="s">
        <v>19</v>
      </c>
      <c r="C902" t="s">
        <v>31</v>
      </c>
      <c r="D902" t="s">
        <v>28</v>
      </c>
      <c r="E902" t="s">
        <v>96</v>
      </c>
      <c r="F902" t="s">
        <v>19</v>
      </c>
      <c r="G902" t="s">
        <v>19</v>
      </c>
      <c r="H902" t="s">
        <v>28</v>
      </c>
      <c r="I902" t="s">
        <v>19</v>
      </c>
      <c r="J902" t="s">
        <v>74</v>
      </c>
      <c r="K902" s="21" t="s">
        <v>607</v>
      </c>
      <c r="L902" s="5" t="s">
        <v>19</v>
      </c>
      <c r="M902" s="5" t="s">
        <v>19</v>
      </c>
      <c r="N902" s="5" t="s">
        <v>19</v>
      </c>
      <c r="O902" s="5" t="str">
        <f>HYPERLINK("http://www.lghausys.co.kr/popup/rn/download/downloadPopup.jsp?from=plwindow&amp;uu=/upload/window/REPORT/LGH-WA19-067.pdf","1등급")</f>
        <v>1등급</v>
      </c>
      <c r="P902" s="5" t="s">
        <v>19</v>
      </c>
      <c r="Q902" s="5" t="s">
        <v>19</v>
      </c>
      <c r="R902" s="5" t="s">
        <v>19</v>
      </c>
      <c r="S902" s="5" t="s">
        <v>19</v>
      </c>
      <c r="T902" s="5" t="s">
        <v>19</v>
      </c>
      <c r="U902" s="5" t="s">
        <v>19</v>
      </c>
      <c r="V902" s="5" t="s">
        <v>19</v>
      </c>
      <c r="W902" s="5" t="s">
        <v>152</v>
      </c>
      <c r="X902"/>
    </row>
    <row r="903" spans="1:24">
      <c r="A903" t="s">
        <v>144</v>
      </c>
      <c r="B903" t="s">
        <v>19</v>
      </c>
      <c r="C903" t="s">
        <v>34</v>
      </c>
      <c r="D903" t="s">
        <v>25</v>
      </c>
      <c r="E903" t="s">
        <v>19</v>
      </c>
      <c r="F903" t="s">
        <v>19</v>
      </c>
      <c r="G903" t="s">
        <v>19</v>
      </c>
      <c r="H903" t="s">
        <v>25</v>
      </c>
      <c r="I903" t="s">
        <v>19</v>
      </c>
      <c r="J903" t="s">
        <v>74</v>
      </c>
      <c r="K903" s="21" t="s">
        <v>607</v>
      </c>
      <c r="L903" s="5" t="s">
        <v>19</v>
      </c>
      <c r="M903" s="5" t="s">
        <v>19</v>
      </c>
      <c r="N903" s="5" t="str">
        <f>HYPERLINK("http://www.lghausys.co.kr/popup/rn/download/downloadPopup.jsp?from=plwindow&amp;uu=/upload/window/REPORT/LGH-TA19-053.pdf","1.318")</f>
        <v>1.318</v>
      </c>
      <c r="O903" s="5" t="s">
        <v>19</v>
      </c>
      <c r="P903" s="5" t="s">
        <v>19</v>
      </c>
      <c r="Q903" s="5" t="s">
        <v>19</v>
      </c>
      <c r="R903" s="5" t="s">
        <v>19</v>
      </c>
      <c r="S903" s="5" t="s">
        <v>19</v>
      </c>
      <c r="T903" s="5" t="s">
        <v>19</v>
      </c>
      <c r="U903" s="5" t="s">
        <v>19</v>
      </c>
      <c r="V903" s="5" t="s">
        <v>19</v>
      </c>
      <c r="W903" s="5" t="s">
        <v>75</v>
      </c>
      <c r="X903"/>
    </row>
    <row r="904" spans="1:24">
      <c r="A904" t="s">
        <v>144</v>
      </c>
      <c r="B904" t="s">
        <v>19</v>
      </c>
      <c r="C904" t="s">
        <v>34</v>
      </c>
      <c r="D904" t="s">
        <v>41</v>
      </c>
      <c r="E904" t="s">
        <v>19</v>
      </c>
      <c r="F904" t="s">
        <v>19</v>
      </c>
      <c r="G904" t="s">
        <v>19</v>
      </c>
      <c r="H904" t="s">
        <v>41</v>
      </c>
      <c r="I904" t="s">
        <v>19</v>
      </c>
      <c r="J904" t="s">
        <v>74</v>
      </c>
      <c r="K904" s="21" t="s">
        <v>607</v>
      </c>
      <c r="L904" s="5" t="s">
        <v>19</v>
      </c>
      <c r="M904" s="5" t="s">
        <v>19</v>
      </c>
      <c r="N904" s="5" t="str">
        <f>HYPERLINK("http://www.lghausys.co.kr/popup/rn/download/downloadPopup.jsp?from=plwindow&amp;uu=/upload/window/REPORT/LGH-TA19-054.pdf","1.495")</f>
        <v>1.495</v>
      </c>
      <c r="O904" s="5" t="s">
        <v>19</v>
      </c>
      <c r="P904" s="5" t="s">
        <v>19</v>
      </c>
      <c r="Q904" s="5" t="s">
        <v>19</v>
      </c>
      <c r="R904" s="5" t="s">
        <v>19</v>
      </c>
      <c r="S904" s="5" t="s">
        <v>19</v>
      </c>
      <c r="T904" s="5" t="s">
        <v>19</v>
      </c>
      <c r="U904" s="5" t="s">
        <v>19</v>
      </c>
      <c r="V904" s="5" t="s">
        <v>19</v>
      </c>
      <c r="W904" s="5" t="s">
        <v>75</v>
      </c>
      <c r="X904"/>
    </row>
    <row r="905" spans="1:24">
      <c r="A905" t="s">
        <v>144</v>
      </c>
      <c r="B905" t="s">
        <v>19</v>
      </c>
      <c r="C905" t="s">
        <v>34</v>
      </c>
      <c r="D905" t="s">
        <v>25</v>
      </c>
      <c r="E905" t="s">
        <v>19</v>
      </c>
      <c r="F905" t="s">
        <v>19</v>
      </c>
      <c r="G905" t="s">
        <v>19</v>
      </c>
      <c r="H905" t="s">
        <v>28</v>
      </c>
      <c r="I905" t="s">
        <v>19</v>
      </c>
      <c r="J905" t="s">
        <v>74</v>
      </c>
      <c r="K905" s="21" t="s">
        <v>607</v>
      </c>
      <c r="L905" s="5" t="s">
        <v>19</v>
      </c>
      <c r="M905" s="5" t="s">
        <v>19</v>
      </c>
      <c r="N905" s="5" t="str">
        <f>HYPERLINK("http://www.lghausys.co.kr/popup/rn/download/downloadPopup.jsp?from=plwindow&amp;uu=/upload/window/REPORT/LGH-TA19-057.pdf","1.018")</f>
        <v>1.018</v>
      </c>
      <c r="O905" s="5" t="s">
        <v>19</v>
      </c>
      <c r="P905" s="5" t="s">
        <v>19</v>
      </c>
      <c r="Q905" s="5" t="s">
        <v>19</v>
      </c>
      <c r="R905" s="5" t="s">
        <v>19</v>
      </c>
      <c r="S905" s="5" t="s">
        <v>19</v>
      </c>
      <c r="T905" s="5" t="s">
        <v>19</v>
      </c>
      <c r="U905" s="5" t="s">
        <v>19</v>
      </c>
      <c r="V905" s="5" t="s">
        <v>19</v>
      </c>
      <c r="W905" s="5" t="s">
        <v>75</v>
      </c>
      <c r="X905"/>
    </row>
    <row r="906" spans="1:24">
      <c r="A906" t="s">
        <v>73</v>
      </c>
      <c r="B906" t="s">
        <v>19</v>
      </c>
      <c r="C906" t="s">
        <v>13</v>
      </c>
      <c r="D906" t="s">
        <v>21</v>
      </c>
      <c r="E906" t="s">
        <v>19</v>
      </c>
      <c r="F906" t="s">
        <v>19</v>
      </c>
      <c r="G906" t="s">
        <v>19</v>
      </c>
      <c r="H906" t="s">
        <v>21</v>
      </c>
      <c r="I906" t="s">
        <v>19</v>
      </c>
      <c r="J906" t="s">
        <v>74</v>
      </c>
      <c r="K906" s="21" t="s">
        <v>607</v>
      </c>
      <c r="L906" s="5" t="s">
        <v>19</v>
      </c>
      <c r="M906" s="5" t="s">
        <v>19</v>
      </c>
      <c r="N906" s="5" t="s">
        <v>19</v>
      </c>
      <c r="O906" s="5" t="s">
        <v>19</v>
      </c>
      <c r="P906" s="5" t="s">
        <v>19</v>
      </c>
      <c r="Q906" s="5" t="s">
        <v>19</v>
      </c>
      <c r="R906" s="5" t="s">
        <v>19</v>
      </c>
      <c r="S906" s="5" t="str">
        <f>HYPERLINK("http://www.lghausys.co.kr/popup/rn/download/downloadPopup.jsp?from=plwindow&amp;uu=/upload/window/REPORT/LGH-DA19-015.pdf","결로발생없음")</f>
        <v>결로발생없음</v>
      </c>
      <c r="T906" s="5" t="s">
        <v>19</v>
      </c>
      <c r="U906" s="5" t="s">
        <v>19</v>
      </c>
      <c r="V906" s="5" t="s">
        <v>19</v>
      </c>
      <c r="W906" s="5" t="s">
        <v>75</v>
      </c>
      <c r="X906"/>
    </row>
    <row r="907" spans="1:24">
      <c r="A907" t="s">
        <v>144</v>
      </c>
      <c r="B907" t="s">
        <v>19</v>
      </c>
      <c r="C907" t="s">
        <v>31</v>
      </c>
      <c r="D907" t="s">
        <v>28</v>
      </c>
      <c r="E907" t="s">
        <v>19</v>
      </c>
      <c r="F907" t="s">
        <v>19</v>
      </c>
      <c r="G907" t="s">
        <v>19</v>
      </c>
      <c r="H907" t="s">
        <v>28</v>
      </c>
      <c r="I907" t="s">
        <v>19</v>
      </c>
      <c r="J907" t="s">
        <v>99</v>
      </c>
      <c r="K907" s="21" t="s">
        <v>607</v>
      </c>
      <c r="L907" s="5" t="s">
        <v>19</v>
      </c>
      <c r="M907" s="5" t="s">
        <v>19</v>
      </c>
      <c r="N907" s="5" t="s">
        <v>19</v>
      </c>
      <c r="O907" s="5" t="str">
        <f>HYPERLINK("http://www.lghausys.co.kr/popup/rn/download/downloadPopup.jsp?from=plwindow&amp;uu=/upload/window/REPORT/LGH-WA19-070.pdf","1등급")</f>
        <v>1등급</v>
      </c>
      <c r="P907" s="5" t="str">
        <f>HYPERLINK("http://www.lghausys.co.kr/popup/rn/download/downloadPopup.jsp?from=plwindow&amp;uu=/upload/window/REPORT/LGH-WA19-070.pdf","50등급")</f>
        <v>50등급</v>
      </c>
      <c r="Q907" s="5" t="str">
        <f>HYPERLINK("http://www.lghausys.co.kr/popup/rn/download/downloadPopup.jsp?from=plwindow&amp;uu=/upload/window/REPORT/LGH-WA19-070.pdf","300등급")</f>
        <v>300등급</v>
      </c>
      <c r="R907" s="5" t="s">
        <v>19</v>
      </c>
      <c r="S907" s="5" t="s">
        <v>19</v>
      </c>
      <c r="T907" s="5" t="s">
        <v>19</v>
      </c>
      <c r="U907" s="5" t="s">
        <v>19</v>
      </c>
      <c r="V907" s="5" t="s">
        <v>19</v>
      </c>
      <c r="W907" s="5" t="s">
        <v>152</v>
      </c>
      <c r="X907"/>
    </row>
    <row r="908" spans="1:24">
      <c r="A908" t="s">
        <v>239</v>
      </c>
      <c r="B908" t="s">
        <v>19</v>
      </c>
      <c r="C908" t="s">
        <v>34</v>
      </c>
      <c r="D908" t="s">
        <v>51</v>
      </c>
      <c r="E908" t="s">
        <v>19</v>
      </c>
      <c r="F908" t="s">
        <v>19</v>
      </c>
      <c r="G908" t="s">
        <v>19</v>
      </c>
      <c r="H908" t="s">
        <v>19</v>
      </c>
      <c r="I908" t="s">
        <v>19</v>
      </c>
      <c r="J908" t="s">
        <v>97</v>
      </c>
      <c r="K908" s="21" t="s">
        <v>607</v>
      </c>
      <c r="L908" s="5" t="s">
        <v>19</v>
      </c>
      <c r="M908" s="5" t="s">
        <v>19</v>
      </c>
      <c r="N908" s="5" t="str">
        <f>HYPERLINK("http://www.lghausys.co.kr/popup/rn/download/downloadPopup.jsp?from=plwindow&amp;uu=/upload/window/REPORT/LGH-TA19-060.pdf","0.99")</f>
        <v>0.99</v>
      </c>
      <c r="O908" s="5" t="s">
        <v>19</v>
      </c>
      <c r="P908" s="5" t="s">
        <v>19</v>
      </c>
      <c r="Q908" s="5" t="s">
        <v>19</v>
      </c>
      <c r="R908" s="5" t="s">
        <v>19</v>
      </c>
      <c r="S908" s="5" t="s">
        <v>19</v>
      </c>
      <c r="T908" s="5" t="s">
        <v>19</v>
      </c>
      <c r="U908" s="5" t="s">
        <v>19</v>
      </c>
      <c r="V908" s="5" t="s">
        <v>19</v>
      </c>
      <c r="W908" s="5" t="s">
        <v>75</v>
      </c>
      <c r="X908"/>
    </row>
    <row r="909" spans="1:24">
      <c r="A909" t="s">
        <v>60</v>
      </c>
      <c r="B909" t="s">
        <v>19</v>
      </c>
      <c r="C909" t="s">
        <v>31</v>
      </c>
      <c r="D909" t="s">
        <v>25</v>
      </c>
      <c r="E909" t="s">
        <v>19</v>
      </c>
      <c r="F909" t="s">
        <v>19</v>
      </c>
      <c r="G909" t="s">
        <v>19</v>
      </c>
      <c r="H909" t="s">
        <v>28</v>
      </c>
      <c r="I909" t="s">
        <v>19</v>
      </c>
      <c r="J909" t="s">
        <v>145</v>
      </c>
      <c r="K909" s="21" t="s">
        <v>607</v>
      </c>
      <c r="L909" s="5" t="s">
        <v>19</v>
      </c>
      <c r="M909" s="5" t="s">
        <v>19</v>
      </c>
      <c r="N909" s="5" t="s">
        <v>19</v>
      </c>
      <c r="O909" s="5" t="str">
        <f>HYPERLINK("http://www.lghausys.co.kr/popup/rn/download/downloadPopup.jsp?from=plwindow&amp;uu=/upload/window/REPORT/LGH-WA19-082.pdf","1등급")</f>
        <v>1등급</v>
      </c>
      <c r="P909" s="5" t="s">
        <v>19</v>
      </c>
      <c r="Q909" s="5" t="s">
        <v>19</v>
      </c>
      <c r="R909" s="5" t="s">
        <v>19</v>
      </c>
      <c r="S909" s="5" t="s">
        <v>19</v>
      </c>
      <c r="T909" s="5" t="s">
        <v>19</v>
      </c>
      <c r="U909" s="5" t="s">
        <v>19</v>
      </c>
      <c r="V909" s="5" t="s">
        <v>19</v>
      </c>
      <c r="W909" s="5" t="s">
        <v>152</v>
      </c>
      <c r="X909"/>
    </row>
    <row r="910" spans="1:24">
      <c r="A910" t="s">
        <v>240</v>
      </c>
      <c r="B910" t="s">
        <v>19</v>
      </c>
      <c r="C910" t="s">
        <v>20</v>
      </c>
      <c r="D910" t="s">
        <v>68</v>
      </c>
      <c r="E910" t="s">
        <v>19</v>
      </c>
      <c r="F910" t="s">
        <v>19</v>
      </c>
      <c r="G910" t="s">
        <v>19</v>
      </c>
      <c r="H910" t="s">
        <v>235</v>
      </c>
      <c r="I910" t="s">
        <v>19</v>
      </c>
      <c r="J910" t="s">
        <v>97</v>
      </c>
      <c r="K910" s="21" t="str">
        <f>IF(X910&lt;=0.9,HYPERLINK("http://www.lxhausys.co.kr/popup/rn/download/downloadPopup.jsp?from=plwindow&amp;uu=/upload/window/REPORT/LGH-TW19-032.pdf","1등급"),IF(X910&lt;=1.2,HYPERLINK("http://www.lxhausys.co.kr/popup/rn/download/downloadPopup.jsp?from=plwindow&amp;uu=/upload/window/REPORT/LGH-TW19-032.pdf","2등급"),IF(X910&lt;=1.8,HYPERLINK("http://www.lxhausys.co.kr/popup/rn/download/downloadPopup.jsp?from=plwindow&amp;uu=/upload/window/REPORT/LGH-TW19-032.pdf","3등급"),IF(X910&lt;=2.3,HYPERLINK("http://www.lxhausys.co.kr/popup/rn/download/downloadPopup.jsp?from=plwindow&amp;uu=/upload/window/REPORT/LGH-TW19-032.pdf","4등급"),IF(X910&lt;=2.8,HYPERLINK("http://www.lxhausys.co.kr/popup/rn/download/downloadPopup.jsp?from=plwindow&amp;uu=/upload/window/REPORT/LGH-TW19-032.pdf","5등급"),HYPERLINK("http://www.lxhausys.co.kr/popup/rn/download/downloadPopup.jsp?from=plwindow&amp;uu=/upload/window/REPORT/LGH-TW19-032.pdf","등급외"))))))</f>
        <v>2등급</v>
      </c>
      <c r="L910" s="5">
        <v>0.95200000000000007</v>
      </c>
      <c r="M910" s="5" t="s">
        <v>22</v>
      </c>
      <c r="N910" s="5" t="s">
        <v>607</v>
      </c>
      <c r="O910" s="5" t="s">
        <v>19</v>
      </c>
      <c r="P910" s="5" t="s">
        <v>19</v>
      </c>
      <c r="Q910" s="5" t="s">
        <v>19</v>
      </c>
      <c r="R910" s="5" t="s">
        <v>19</v>
      </c>
      <c r="S910" s="5" t="s">
        <v>19</v>
      </c>
      <c r="T910" s="5" t="s">
        <v>19</v>
      </c>
      <c r="U910" s="5" t="s">
        <v>19</v>
      </c>
      <c r="V910" s="5" t="s">
        <v>19</v>
      </c>
      <c r="W910" s="5" t="s">
        <v>19</v>
      </c>
      <c r="X910" s="19">
        <f>L910</f>
        <v>0.95200000000000007</v>
      </c>
    </row>
    <row r="911" spans="1:24">
      <c r="A911" t="s">
        <v>240</v>
      </c>
      <c r="B911" t="s">
        <v>19</v>
      </c>
      <c r="C911" t="s">
        <v>31</v>
      </c>
      <c r="D911" t="s">
        <v>68</v>
      </c>
      <c r="E911" t="s">
        <v>19</v>
      </c>
      <c r="F911" t="s">
        <v>19</v>
      </c>
      <c r="G911" t="s">
        <v>19</v>
      </c>
      <c r="H911" t="s">
        <v>235</v>
      </c>
      <c r="I911" t="s">
        <v>19</v>
      </c>
      <c r="J911" t="s">
        <v>97</v>
      </c>
      <c r="K911" s="21" t="s">
        <v>607</v>
      </c>
      <c r="L911" s="5" t="s">
        <v>19</v>
      </c>
      <c r="M911" s="5" t="s">
        <v>19</v>
      </c>
      <c r="N911" s="5" t="s">
        <v>19</v>
      </c>
      <c r="O911" s="5" t="str">
        <f>HYPERLINK("http://www.lghausys.co.kr/popup/rn/download/downloadPopup.jsp?from=plwindow&amp;uu=/upload/window/REPORT/LGH-WA19-128.pdf","1등급")</f>
        <v>1등급</v>
      </c>
      <c r="P911" s="5" t="str">
        <f>HYPERLINK("http://www.lghausys.co.kr/popup/rn/download/downloadPopup.jsp?from=plwindow&amp;uu=/upload/window/REPORT/LGH-WA19-128.pdf","50등급")</f>
        <v>50등급</v>
      </c>
      <c r="Q911" s="5" t="str">
        <f>HYPERLINK("http://www.lghausys.co.kr/popup/rn/download/downloadPopup.jsp?from=plwindow&amp;uu=/upload/window/REPORT/LGH-WA19-128.pdf","400등급")</f>
        <v>400등급</v>
      </c>
      <c r="R911" s="5" t="s">
        <v>19</v>
      </c>
      <c r="S911" s="5" t="s">
        <v>19</v>
      </c>
      <c r="T911" s="5" t="s">
        <v>19</v>
      </c>
      <c r="U911" s="5" t="s">
        <v>19</v>
      </c>
      <c r="V911" s="5" t="s">
        <v>19</v>
      </c>
      <c r="W911" s="5" t="s">
        <v>152</v>
      </c>
      <c r="X911"/>
    </row>
    <row r="912" spans="1:24">
      <c r="A912" t="s">
        <v>30</v>
      </c>
      <c r="B912" t="s">
        <v>19</v>
      </c>
      <c r="C912" t="s">
        <v>14</v>
      </c>
      <c r="D912" t="s">
        <v>28</v>
      </c>
      <c r="E912" t="s">
        <v>96</v>
      </c>
      <c r="F912" t="s">
        <v>19</v>
      </c>
      <c r="G912" t="s">
        <v>19</v>
      </c>
      <c r="H912" t="s">
        <v>25</v>
      </c>
      <c r="I912" t="s">
        <v>19</v>
      </c>
      <c r="J912" t="s">
        <v>145</v>
      </c>
      <c r="K912" s="21" t="s">
        <v>607</v>
      </c>
      <c r="L912" s="5" t="s">
        <v>19</v>
      </c>
      <c r="M912" s="5" t="s">
        <v>19</v>
      </c>
      <c r="N912" s="5" t="s">
        <v>19</v>
      </c>
      <c r="O912" s="5" t="s">
        <v>19</v>
      </c>
      <c r="P912" s="5" t="s">
        <v>19</v>
      </c>
      <c r="Q912" s="5" t="s">
        <v>19</v>
      </c>
      <c r="R912" s="5" t="s">
        <v>19</v>
      </c>
      <c r="S912" s="5" t="s">
        <v>19</v>
      </c>
      <c r="T912" s="5" t="str">
        <f>HYPERLINK("http://www.lghausys.co.kr/popup/rn/download/downloadPopup.jsp?from=plwindow&amp;uu=/upload/window/REPORT/LGH-DA19-019.pdf","결로발생없음")</f>
        <v>결로발생없음</v>
      </c>
      <c r="U912" s="5" t="s">
        <v>19</v>
      </c>
      <c r="V912" s="5" t="s">
        <v>19</v>
      </c>
      <c r="W912" s="5" t="s">
        <v>75</v>
      </c>
      <c r="X912"/>
    </row>
    <row r="913" spans="1:24">
      <c r="A913" t="s">
        <v>73</v>
      </c>
      <c r="B913" t="s">
        <v>19</v>
      </c>
      <c r="C913" t="s">
        <v>31</v>
      </c>
      <c r="D913" t="s">
        <v>21</v>
      </c>
      <c r="E913" t="s">
        <v>19</v>
      </c>
      <c r="F913" t="s">
        <v>19</v>
      </c>
      <c r="G913" t="s">
        <v>19</v>
      </c>
      <c r="H913" t="s">
        <v>21</v>
      </c>
      <c r="I913" t="s">
        <v>19</v>
      </c>
      <c r="J913" t="s">
        <v>99</v>
      </c>
      <c r="K913" s="21" t="s">
        <v>607</v>
      </c>
      <c r="L913" s="5" t="s">
        <v>19</v>
      </c>
      <c r="M913" s="5" t="s">
        <v>19</v>
      </c>
      <c r="N913" s="5" t="s">
        <v>19</v>
      </c>
      <c r="O913" s="5" t="str">
        <f>HYPERLINK("http://www.lghausys.co.kr/popup/rn/download/downloadPopup.jsp?from=plwindow&amp;uu=/upload/window/REPORT/LGH-WA19-179.pdf","1등급")</f>
        <v>1등급</v>
      </c>
      <c r="P913" s="5" t="str">
        <f>HYPERLINK("http://www.lghausys.co.kr/popup/rn/download/downloadPopup.jsp?from=plwindow&amp;uu=/upload/window/REPORT/LGH-WA19-179.pdf","50등급")</f>
        <v>50등급</v>
      </c>
      <c r="Q913" s="5" t="str">
        <f>HYPERLINK("http://www.lghausys.co.kr/popup/rn/download/downloadPopup.jsp?from=plwindow&amp;uu=/upload/window/REPORT/LGH-WA19-179.pdf","300등급")</f>
        <v>300등급</v>
      </c>
      <c r="R913" s="5" t="s">
        <v>19</v>
      </c>
      <c r="S913" s="5" t="s">
        <v>19</v>
      </c>
      <c r="T913" s="5" t="s">
        <v>19</v>
      </c>
      <c r="U913" s="5" t="s">
        <v>19</v>
      </c>
      <c r="V913" s="5" t="s">
        <v>19</v>
      </c>
      <c r="W913" s="5" t="s">
        <v>152</v>
      </c>
      <c r="X913"/>
    </row>
    <row r="914" spans="1:24">
      <c r="A914" t="s">
        <v>60</v>
      </c>
      <c r="B914" t="s">
        <v>19</v>
      </c>
      <c r="C914" t="s">
        <v>20</v>
      </c>
      <c r="D914" t="s">
        <v>68</v>
      </c>
      <c r="E914" t="s">
        <v>19</v>
      </c>
      <c r="F914" t="s">
        <v>19</v>
      </c>
      <c r="G914" t="s">
        <v>19</v>
      </c>
      <c r="H914" t="s">
        <v>235</v>
      </c>
      <c r="I914" t="s">
        <v>19</v>
      </c>
      <c r="J914" t="s">
        <v>74</v>
      </c>
      <c r="K914" s="21" t="str">
        <f>IF(X914&lt;=0.9,HYPERLINK("http://www.lxhausys.co.kr/popup/rn/download/downloadPopup.jsp?from=plwindow&amp;uu=/upload/window/REPORT/LGH-TW19-033.pdf","1등급"),IF(X914&lt;=1.2,HYPERLINK("http://www.lxhausys.co.kr/popup/rn/download/downloadPopup.jsp?from=plwindow&amp;uu=/upload/window/REPORT/LGH-TW19-033.pdf","2등급"),IF(X914&lt;=1.8,HYPERLINK("http://www.lxhausys.co.kr/popup/rn/download/downloadPopup.jsp?from=plwindow&amp;uu=/upload/window/REPORT/LGH-TW19-033.pdf","3등급"),IF(X914&lt;=2.3,HYPERLINK("http://www.lxhausys.co.kr/popup/rn/download/downloadPopup.jsp?from=plwindow&amp;uu=/upload/window/REPORT/LGH-TW19-033.pdf","4등급"),IF(X914&lt;=2.8,HYPERLINK("http://www.lxhausys.co.kr/popup/rn/download/downloadPopup.jsp?from=plwindow&amp;uu=/upload/window/REPORT/LGH-TW19-033.pdf","5등급"),HYPERLINK("http://www.lxhausys.co.kr/popup/rn/download/downloadPopup.jsp?from=plwindow&amp;uu=/upload/window/REPORT/LGH-TW19-033.pdf","등급외"))))))</f>
        <v>2등급</v>
      </c>
      <c r="L914" s="5">
        <v>0.96200000000000008</v>
      </c>
      <c r="M914" s="5" t="s">
        <v>22</v>
      </c>
      <c r="N914" s="5" t="s">
        <v>607</v>
      </c>
      <c r="O914" s="5" t="s">
        <v>19</v>
      </c>
      <c r="P914" s="5" t="s">
        <v>19</v>
      </c>
      <c r="Q914" s="5" t="s">
        <v>19</v>
      </c>
      <c r="R914" s="5" t="s">
        <v>19</v>
      </c>
      <c r="S914" s="5" t="s">
        <v>19</v>
      </c>
      <c r="T914" s="5" t="s">
        <v>19</v>
      </c>
      <c r="U914" s="5" t="s">
        <v>19</v>
      </c>
      <c r="V914" s="5" t="s">
        <v>19</v>
      </c>
      <c r="W914" s="5" t="s">
        <v>19</v>
      </c>
      <c r="X914" s="19">
        <f>L914</f>
        <v>0.96200000000000008</v>
      </c>
    </row>
    <row r="915" spans="1:24">
      <c r="A915" t="s">
        <v>144</v>
      </c>
      <c r="B915" t="s">
        <v>19</v>
      </c>
      <c r="C915" t="s">
        <v>34</v>
      </c>
      <c r="D915" t="s">
        <v>21</v>
      </c>
      <c r="E915" t="s">
        <v>19</v>
      </c>
      <c r="F915" t="s">
        <v>19</v>
      </c>
      <c r="G915" t="s">
        <v>19</v>
      </c>
      <c r="H915" t="s">
        <v>21</v>
      </c>
      <c r="I915" t="s">
        <v>19</v>
      </c>
      <c r="J915" t="s">
        <v>99</v>
      </c>
      <c r="K915" s="21" t="s">
        <v>607</v>
      </c>
      <c r="L915" s="5" t="s">
        <v>19</v>
      </c>
      <c r="M915" s="5" t="s">
        <v>19</v>
      </c>
      <c r="N915" s="5" t="str">
        <f>HYPERLINK("http://www.lghausys.co.kr/popup/rn/download/downloadPopup.jsp?from=plwindow&amp;uu=/upload/window/REPORT/LGH-TA19-160.pdf","0.742")</f>
        <v>0.742</v>
      </c>
      <c r="O915" s="5" t="s">
        <v>19</v>
      </c>
      <c r="P915" s="5" t="s">
        <v>19</v>
      </c>
      <c r="Q915" s="5" t="s">
        <v>19</v>
      </c>
      <c r="R915" s="5" t="s">
        <v>19</v>
      </c>
      <c r="S915" s="5" t="s">
        <v>19</v>
      </c>
      <c r="T915" s="5" t="s">
        <v>19</v>
      </c>
      <c r="U915" s="5" t="s">
        <v>19</v>
      </c>
      <c r="V915" s="5" t="s">
        <v>19</v>
      </c>
      <c r="W915" s="5" t="s">
        <v>75</v>
      </c>
      <c r="X915"/>
    </row>
    <row r="916" spans="1:24">
      <c r="A916" t="s">
        <v>125</v>
      </c>
      <c r="B916" t="s">
        <v>19</v>
      </c>
      <c r="C916" t="s">
        <v>31</v>
      </c>
      <c r="D916" t="s">
        <v>235</v>
      </c>
      <c r="E916" t="s">
        <v>19</v>
      </c>
      <c r="F916" t="s">
        <v>19</v>
      </c>
      <c r="G916" t="s">
        <v>19</v>
      </c>
      <c r="H916" t="s">
        <v>19</v>
      </c>
      <c r="I916" t="s">
        <v>19</v>
      </c>
      <c r="J916" t="s">
        <v>74</v>
      </c>
      <c r="K916" s="21" t="s">
        <v>607</v>
      </c>
      <c r="L916" s="5" t="s">
        <v>19</v>
      </c>
      <c r="M916" s="5" t="s">
        <v>19</v>
      </c>
      <c r="N916" s="5" t="s">
        <v>19</v>
      </c>
      <c r="O916" s="5" t="s">
        <v>19</v>
      </c>
      <c r="P916" s="5" t="str">
        <f>HYPERLINK("http://www.lghausys.co.kr/popup/rn/download/downloadPopup.jsp?from=plwindow&amp;uu=/upload/window/REPORT/LGH-WA19-196.pdf","15등급")</f>
        <v>15등급</v>
      </c>
      <c r="Q916" s="5" t="str">
        <f>HYPERLINK("http://www.lghausys.co.kr/popup/rn/download/downloadPopup.jsp?from=plwindow&amp;uu=/upload/window/REPORT/LGH-WA19-196.pdf","240등급")</f>
        <v>240등급</v>
      </c>
      <c r="R916" s="5" t="s">
        <v>19</v>
      </c>
      <c r="S916" s="5" t="s">
        <v>19</v>
      </c>
      <c r="T916" s="5" t="s">
        <v>19</v>
      </c>
      <c r="U916" s="5" t="s">
        <v>19</v>
      </c>
      <c r="V916" s="5" t="s">
        <v>19</v>
      </c>
      <c r="W916" s="5" t="s">
        <v>152</v>
      </c>
      <c r="X916"/>
    </row>
    <row r="917" spans="1:24">
      <c r="A917" t="s">
        <v>52</v>
      </c>
      <c r="B917" t="s">
        <v>19</v>
      </c>
      <c r="C917" t="s">
        <v>31</v>
      </c>
      <c r="D917" t="s">
        <v>235</v>
      </c>
      <c r="E917" t="s">
        <v>19</v>
      </c>
      <c r="F917" t="s">
        <v>19</v>
      </c>
      <c r="G917" t="s">
        <v>19</v>
      </c>
      <c r="H917" t="s">
        <v>235</v>
      </c>
      <c r="I917" t="s">
        <v>19</v>
      </c>
      <c r="J917" t="s">
        <v>74</v>
      </c>
      <c r="K917" s="21" t="s">
        <v>607</v>
      </c>
      <c r="L917" s="5" t="s">
        <v>19</v>
      </c>
      <c r="M917" s="5" t="s">
        <v>19</v>
      </c>
      <c r="N917" s="5" t="s">
        <v>19</v>
      </c>
      <c r="O917" s="5" t="s">
        <v>19</v>
      </c>
      <c r="P917" s="5" t="str">
        <f>HYPERLINK("http://www.lghausys.co.kr/popup/rn/download/downloadPopup.jsp?from=plwindow&amp;uu=/upload/window/REPORT/LGH-WA19-197.pdf","50등급")</f>
        <v>50등급</v>
      </c>
      <c r="Q917" s="5" t="str">
        <f>HYPERLINK("http://www.lghausys.co.kr/popup/rn/download/downloadPopup.jsp?from=plwindow&amp;uu=/upload/window/REPORT/LGH-WA19-197.pdf","400등급")</f>
        <v>400등급</v>
      </c>
      <c r="R917" s="5" t="s">
        <v>19</v>
      </c>
      <c r="S917" s="5" t="s">
        <v>19</v>
      </c>
      <c r="T917" s="5" t="s">
        <v>19</v>
      </c>
      <c r="U917" s="5" t="s">
        <v>19</v>
      </c>
      <c r="V917" s="5" t="s">
        <v>19</v>
      </c>
      <c r="W917" s="5" t="s">
        <v>152</v>
      </c>
      <c r="X917"/>
    </row>
    <row r="918" spans="1:24">
      <c r="A918" t="s">
        <v>175</v>
      </c>
      <c r="B918" t="s">
        <v>19</v>
      </c>
      <c r="C918" t="s">
        <v>31</v>
      </c>
      <c r="D918" t="s">
        <v>235</v>
      </c>
      <c r="E918" t="s">
        <v>19</v>
      </c>
      <c r="F918" t="s">
        <v>19</v>
      </c>
      <c r="G918" t="s">
        <v>19</v>
      </c>
      <c r="H918" t="s">
        <v>235</v>
      </c>
      <c r="I918" t="s">
        <v>19</v>
      </c>
      <c r="J918" t="s">
        <v>74</v>
      </c>
      <c r="K918" s="21" t="s">
        <v>607</v>
      </c>
      <c r="L918" s="5" t="s">
        <v>19</v>
      </c>
      <c r="M918" s="5" t="s">
        <v>19</v>
      </c>
      <c r="N918" s="5" t="s">
        <v>19</v>
      </c>
      <c r="O918" s="5" t="s">
        <v>19</v>
      </c>
      <c r="P918" s="5" t="str">
        <f>HYPERLINK("http://www.lghausys.co.kr/popup/rn/download/downloadPopup.jsp?from=plwindow&amp;uu=/upload/window/REPORT/LGH-WA19-198.pdf","50등급")</f>
        <v>50등급</v>
      </c>
      <c r="Q918" s="5" t="str">
        <f>HYPERLINK("http://www.lghausys.co.kr/popup/rn/download/downloadPopup.jsp?from=plwindow&amp;uu=/upload/window/REPORT/LGH-WA19-198.pdf","400등급")</f>
        <v>400등급</v>
      </c>
      <c r="R918" s="5" t="s">
        <v>19</v>
      </c>
      <c r="S918" s="5" t="s">
        <v>19</v>
      </c>
      <c r="T918" s="5" t="s">
        <v>19</v>
      </c>
      <c r="U918" s="5" t="s">
        <v>19</v>
      </c>
      <c r="V918" s="5" t="s">
        <v>19</v>
      </c>
      <c r="W918" s="5" t="s">
        <v>152</v>
      </c>
      <c r="X918"/>
    </row>
    <row r="919" spans="1:24">
      <c r="A919" t="s">
        <v>125</v>
      </c>
      <c r="B919" t="s">
        <v>19</v>
      </c>
      <c r="C919" t="s">
        <v>20</v>
      </c>
      <c r="D919" t="s">
        <v>241</v>
      </c>
      <c r="E919" t="s">
        <v>19</v>
      </c>
      <c r="F919" t="s">
        <v>19</v>
      </c>
      <c r="G919" t="s">
        <v>19</v>
      </c>
      <c r="H919" t="s">
        <v>19</v>
      </c>
      <c r="I919" t="s">
        <v>19</v>
      </c>
      <c r="J919" t="s">
        <v>74</v>
      </c>
      <c r="K919" s="21" t="str">
        <f>IF(X919&lt;=0.9,HYPERLINK("http://www.lxhausys.co.kr/popup/rn/download/downloadPopup.jsp?from=plwindow&amp;uu=/upload/window/REPORT/LGH-TW19-035.pdf","1등급"),IF(X919&lt;=1.2,HYPERLINK("http://www.lxhausys.co.kr/popup/rn/download/downloadPopup.jsp?from=plwindow&amp;uu=/upload/window/REPORT/LGH-TW19-035.pdf","2등급"),IF(X919&lt;=1.8,HYPERLINK("http://www.lxhausys.co.kr/popup/rn/download/downloadPopup.jsp?from=plwindow&amp;uu=/upload/window/REPORT/LGH-TW19-035.pdf","3등급"),IF(X919&lt;=2.3,HYPERLINK("http://www.lxhausys.co.kr/popup/rn/download/downloadPopup.jsp?from=plwindow&amp;uu=/upload/window/REPORT/LGH-TW19-035.pdf","4등급"),IF(X919&lt;=2.8,HYPERLINK("http://www.lxhausys.co.kr/popup/rn/download/downloadPopup.jsp?from=plwindow&amp;uu=/upload/window/REPORT/LGH-TW19-035.pdf","5등급"),HYPERLINK("http://www.lxhausys.co.kr/popup/rn/download/downloadPopup.jsp?from=plwindow&amp;uu=/upload/window/REPORT/LGH-TW19-035.pdf","등급외"))))))</f>
        <v>4등급</v>
      </c>
      <c r="L919" s="5">
        <v>2.1739999999999999</v>
      </c>
      <c r="M919" s="5" t="s">
        <v>103</v>
      </c>
      <c r="N919" s="5" t="s">
        <v>607</v>
      </c>
      <c r="O919" s="5" t="s">
        <v>19</v>
      </c>
      <c r="P919" s="5" t="s">
        <v>19</v>
      </c>
      <c r="Q919" s="5" t="s">
        <v>19</v>
      </c>
      <c r="R919" s="5" t="s">
        <v>19</v>
      </c>
      <c r="S919" s="5" t="s">
        <v>19</v>
      </c>
      <c r="T919" s="5" t="s">
        <v>19</v>
      </c>
      <c r="U919" s="5" t="s">
        <v>19</v>
      </c>
      <c r="V919" s="5" t="s">
        <v>19</v>
      </c>
      <c r="W919" s="5" t="s">
        <v>19</v>
      </c>
      <c r="X919" s="19">
        <f t="shared" ref="X919:X925" si="8">L919</f>
        <v>2.1739999999999999</v>
      </c>
    </row>
    <row r="920" spans="1:24">
      <c r="A920" t="s">
        <v>125</v>
      </c>
      <c r="B920" t="s">
        <v>19</v>
      </c>
      <c r="C920" t="s">
        <v>20</v>
      </c>
      <c r="D920" t="s">
        <v>235</v>
      </c>
      <c r="E920" t="s">
        <v>19</v>
      </c>
      <c r="F920" t="s">
        <v>19</v>
      </c>
      <c r="G920" t="s">
        <v>19</v>
      </c>
      <c r="H920" t="s">
        <v>19</v>
      </c>
      <c r="I920" t="s">
        <v>19</v>
      </c>
      <c r="J920" t="s">
        <v>74</v>
      </c>
      <c r="K920" s="21" t="str">
        <f>IF(X920&lt;=0.9,HYPERLINK("http://www.lxhausys.co.kr/popup/rn/download/downloadPopup.jsp?from=plwindow&amp;uu=/upload/window/REPORT/LGH-TW19-036.pdf","1등급"),IF(X920&lt;=1.2,HYPERLINK("http://www.lxhausys.co.kr/popup/rn/download/downloadPopup.jsp?from=plwindow&amp;uu=/upload/window/REPORT/LGH-TW19-036.pdf","2등급"),IF(X920&lt;=1.8,HYPERLINK("http://www.lxhausys.co.kr/popup/rn/download/downloadPopup.jsp?from=plwindow&amp;uu=/upload/window/REPORT/LGH-TW19-036.pdf","3등급"),IF(X920&lt;=2.3,HYPERLINK("http://www.lxhausys.co.kr/popup/rn/download/downloadPopup.jsp?from=plwindow&amp;uu=/upload/window/REPORT/LGH-TW19-036.pdf","4등급"),IF(X920&lt;=2.8,HYPERLINK("http://www.lxhausys.co.kr/popup/rn/download/downloadPopup.jsp?from=plwindow&amp;uu=/upload/window/REPORT/LGH-TW19-036.pdf","5등급"),HYPERLINK("http://www.lxhausys.co.kr/popup/rn/download/downloadPopup.jsp?from=plwindow&amp;uu=/upload/window/REPORT/LGH-TW19-036.pdf","등급외"))))))</f>
        <v>4등급</v>
      </c>
      <c r="L920" s="5">
        <v>2.0659999999999998</v>
      </c>
      <c r="M920" s="5" t="s">
        <v>103</v>
      </c>
      <c r="N920" s="5" t="s">
        <v>607</v>
      </c>
      <c r="O920" s="5" t="s">
        <v>19</v>
      </c>
      <c r="P920" s="5" t="s">
        <v>19</v>
      </c>
      <c r="Q920" s="5" t="s">
        <v>19</v>
      </c>
      <c r="R920" s="5" t="s">
        <v>19</v>
      </c>
      <c r="S920" s="5" t="s">
        <v>19</v>
      </c>
      <c r="T920" s="5" t="s">
        <v>19</v>
      </c>
      <c r="U920" s="5" t="s">
        <v>19</v>
      </c>
      <c r="V920" s="5" t="s">
        <v>19</v>
      </c>
      <c r="W920" s="5" t="s">
        <v>19</v>
      </c>
      <c r="X920" s="19">
        <f t="shared" si="8"/>
        <v>2.0659999999999998</v>
      </c>
    </row>
    <row r="921" spans="1:24">
      <c r="A921" t="s">
        <v>52</v>
      </c>
      <c r="B921" t="s">
        <v>19</v>
      </c>
      <c r="C921" t="s">
        <v>20</v>
      </c>
      <c r="D921" t="s">
        <v>241</v>
      </c>
      <c r="E921" t="s">
        <v>19</v>
      </c>
      <c r="F921" t="s">
        <v>19</v>
      </c>
      <c r="G921" t="s">
        <v>19</v>
      </c>
      <c r="H921" t="s">
        <v>241</v>
      </c>
      <c r="I921" t="s">
        <v>19</v>
      </c>
      <c r="J921" t="s">
        <v>74</v>
      </c>
      <c r="K921" s="21" t="str">
        <f>IF(X921&lt;=0.9,HYPERLINK("http://www.lxhausys.co.kr/popup/rn/download/downloadPopup.jsp?from=plwindow&amp;uu=/upload/window/REPORT/LGH-TW19-037.pdf","1등급"),IF(X921&lt;=1.2,HYPERLINK("http://www.lxhausys.co.kr/popup/rn/download/downloadPopup.jsp?from=plwindow&amp;uu=/upload/window/REPORT/LGH-TW19-037.pdf","2등급"),IF(X921&lt;=1.8,HYPERLINK("http://www.lxhausys.co.kr/popup/rn/download/downloadPopup.jsp?from=plwindow&amp;uu=/upload/window/REPORT/LGH-TW19-037.pdf","3등급"),IF(X921&lt;=2.3,HYPERLINK("http://www.lxhausys.co.kr/popup/rn/download/downloadPopup.jsp?from=plwindow&amp;uu=/upload/window/REPORT/LGH-TW19-037.pdf","4등급"),IF(X921&lt;=2.8,HYPERLINK("http://www.lxhausys.co.kr/popup/rn/download/downloadPopup.jsp?from=plwindow&amp;uu=/upload/window/REPORT/LGH-TW19-037.pdf","5등급"),HYPERLINK("http://www.lxhausys.co.kr/popup/rn/download/downloadPopup.jsp?from=plwindow&amp;uu=/upload/window/REPORT/LGH-TW19-037.pdf","등급외"))))))</f>
        <v>1등급</v>
      </c>
      <c r="L921" s="5">
        <v>0.85799999999999998</v>
      </c>
      <c r="M921" s="5" t="s">
        <v>22</v>
      </c>
      <c r="N921" s="5" t="s">
        <v>607</v>
      </c>
      <c r="O921" s="5" t="s">
        <v>19</v>
      </c>
      <c r="P921" s="5" t="s">
        <v>19</v>
      </c>
      <c r="Q921" s="5" t="s">
        <v>19</v>
      </c>
      <c r="R921" s="5" t="s">
        <v>19</v>
      </c>
      <c r="S921" s="5" t="s">
        <v>19</v>
      </c>
      <c r="T921" s="5" t="s">
        <v>19</v>
      </c>
      <c r="U921" s="5" t="s">
        <v>19</v>
      </c>
      <c r="V921" s="5" t="s">
        <v>19</v>
      </c>
      <c r="W921" s="5" t="s">
        <v>19</v>
      </c>
      <c r="X921" s="19">
        <f t="shared" si="8"/>
        <v>0.85799999999999998</v>
      </c>
    </row>
    <row r="922" spans="1:24">
      <c r="A922" t="s">
        <v>175</v>
      </c>
      <c r="B922" t="s">
        <v>19</v>
      </c>
      <c r="C922" t="s">
        <v>20</v>
      </c>
      <c r="D922" t="s">
        <v>241</v>
      </c>
      <c r="E922" t="s">
        <v>19</v>
      </c>
      <c r="F922" t="s">
        <v>19</v>
      </c>
      <c r="G922" t="s">
        <v>19</v>
      </c>
      <c r="H922" t="s">
        <v>241</v>
      </c>
      <c r="I922" t="s">
        <v>19</v>
      </c>
      <c r="J922" t="s">
        <v>74</v>
      </c>
      <c r="K922" s="21" t="str">
        <f>IF(X922&lt;=0.9,HYPERLINK("http://www.lxhausys.co.kr/popup/rn/download/downloadPopup.jsp?from=plwindow&amp;uu=/upload/window/REPORT/LGH-TW19-038.pdf","1등급"),IF(X922&lt;=1.2,HYPERLINK("http://www.lxhausys.co.kr/popup/rn/download/downloadPopup.jsp?from=plwindow&amp;uu=/upload/window/REPORT/LGH-TW19-038.pdf","2등급"),IF(X922&lt;=1.8,HYPERLINK("http://www.lxhausys.co.kr/popup/rn/download/downloadPopup.jsp?from=plwindow&amp;uu=/upload/window/REPORT/LGH-TW19-038.pdf","3등급"),IF(X922&lt;=2.3,HYPERLINK("http://www.lxhausys.co.kr/popup/rn/download/downloadPopup.jsp?from=plwindow&amp;uu=/upload/window/REPORT/LGH-TW19-038.pdf","4등급"),IF(X922&lt;=2.8,HYPERLINK("http://www.lxhausys.co.kr/popup/rn/download/downloadPopup.jsp?from=plwindow&amp;uu=/upload/window/REPORT/LGH-TW19-038.pdf","5등급"),HYPERLINK("http://www.lxhausys.co.kr/popup/rn/download/downloadPopup.jsp?from=plwindow&amp;uu=/upload/window/REPORT/LGH-TW19-038.pdf","등급외"))))))</f>
        <v>1등급</v>
      </c>
      <c r="L922" s="5">
        <v>0.8590000000000001</v>
      </c>
      <c r="M922" s="5" t="s">
        <v>22</v>
      </c>
      <c r="N922" s="5" t="s">
        <v>607</v>
      </c>
      <c r="O922" s="5" t="s">
        <v>19</v>
      </c>
      <c r="P922" s="5" t="s">
        <v>19</v>
      </c>
      <c r="Q922" s="5" t="s">
        <v>19</v>
      </c>
      <c r="R922" s="5" t="s">
        <v>19</v>
      </c>
      <c r="S922" s="5" t="s">
        <v>19</v>
      </c>
      <c r="T922" s="5" t="s">
        <v>19</v>
      </c>
      <c r="U922" s="5" t="s">
        <v>19</v>
      </c>
      <c r="V922" s="5" t="s">
        <v>19</v>
      </c>
      <c r="W922" s="5" t="s">
        <v>19</v>
      </c>
      <c r="X922" s="19">
        <f t="shared" si="8"/>
        <v>0.8590000000000001</v>
      </c>
    </row>
    <row r="923" spans="1:24">
      <c r="A923" t="s">
        <v>60</v>
      </c>
      <c r="B923" t="s">
        <v>19</v>
      </c>
      <c r="C923" t="s">
        <v>20</v>
      </c>
      <c r="D923" t="s">
        <v>241</v>
      </c>
      <c r="E923" t="s">
        <v>19</v>
      </c>
      <c r="F923" t="s">
        <v>19</v>
      </c>
      <c r="G923" t="s">
        <v>19</v>
      </c>
      <c r="H923" t="s">
        <v>241</v>
      </c>
      <c r="I923" t="s">
        <v>19</v>
      </c>
      <c r="J923" t="s">
        <v>74</v>
      </c>
      <c r="K923" s="21" t="str">
        <f>IF(X923&lt;=0.9,HYPERLINK("http://www.lxhausys.co.kr/popup/rn/download/downloadPopup.jsp?from=plwindow&amp;uu=/upload/window/REPORT/LGH-TW19-040.pdf","1등급"),IF(X923&lt;=1.2,HYPERLINK("http://www.lxhausys.co.kr/popup/rn/download/downloadPopup.jsp?from=plwindow&amp;uu=/upload/window/REPORT/LGH-TW19-040.pdf","2등급"),IF(X923&lt;=1.8,HYPERLINK("http://www.lxhausys.co.kr/popup/rn/download/downloadPopup.jsp?from=plwindow&amp;uu=/upload/window/REPORT/LGH-TW19-040.pdf","3등급"),IF(X923&lt;=2.3,HYPERLINK("http://www.lxhausys.co.kr/popup/rn/download/downloadPopup.jsp?from=plwindow&amp;uu=/upload/window/REPORT/LGH-TW19-040.pdf","4등급"),IF(X923&lt;=2.8,HYPERLINK("http://www.lxhausys.co.kr/popup/rn/download/downloadPopup.jsp?from=plwindow&amp;uu=/upload/window/REPORT/LGH-TW19-040.pdf","5등급"),HYPERLINK("http://www.lxhausys.co.kr/popup/rn/download/downloadPopup.jsp?from=plwindow&amp;uu=/upload/window/REPORT/LGH-TW19-040.pdf","등급외"))))))</f>
        <v>1등급</v>
      </c>
      <c r="L923" s="5">
        <v>0.83299999999999996</v>
      </c>
      <c r="M923" s="5" t="s">
        <v>22</v>
      </c>
      <c r="N923" s="5" t="s">
        <v>607</v>
      </c>
      <c r="O923" s="5" t="s">
        <v>19</v>
      </c>
      <c r="P923" s="5" t="s">
        <v>19</v>
      </c>
      <c r="Q923" s="5" t="s">
        <v>19</v>
      </c>
      <c r="R923" s="5" t="s">
        <v>19</v>
      </c>
      <c r="S923" s="5" t="s">
        <v>19</v>
      </c>
      <c r="T923" s="5" t="s">
        <v>19</v>
      </c>
      <c r="U923" s="5" t="s">
        <v>19</v>
      </c>
      <c r="V923" s="5" t="s">
        <v>19</v>
      </c>
      <c r="W923" s="5" t="s">
        <v>19</v>
      </c>
      <c r="X923" s="19">
        <f t="shared" si="8"/>
        <v>0.83299999999999996</v>
      </c>
    </row>
    <row r="924" spans="1:24">
      <c r="A924" t="s">
        <v>202</v>
      </c>
      <c r="B924" t="s">
        <v>19</v>
      </c>
      <c r="C924" t="s">
        <v>20</v>
      </c>
      <c r="D924" t="s">
        <v>241</v>
      </c>
      <c r="E924" t="s">
        <v>19</v>
      </c>
      <c r="F924" t="s">
        <v>19</v>
      </c>
      <c r="G924" t="s">
        <v>19</v>
      </c>
      <c r="H924" t="s">
        <v>19</v>
      </c>
      <c r="I924" t="s">
        <v>19</v>
      </c>
      <c r="J924" t="s">
        <v>74</v>
      </c>
      <c r="K924" s="21" t="str">
        <f>IF(X924&lt;=0.9,HYPERLINK("http://www.lxhausys.co.kr/popup/rn/download/downloadPopup.jsp?from=plwindow&amp;uu=/upload/window/REPORT/LGH-TW19-041.pdf","1등급"),IF(X924&lt;=1.2,HYPERLINK("http://www.lxhausys.co.kr/popup/rn/download/downloadPopup.jsp?from=plwindow&amp;uu=/upload/window/REPORT/LGH-TW19-041.pdf","2등급"),IF(X924&lt;=1.8,HYPERLINK("http://www.lxhausys.co.kr/popup/rn/download/downloadPopup.jsp?from=plwindow&amp;uu=/upload/window/REPORT/LGH-TW19-041.pdf","3등급"),IF(X924&lt;=2.3,HYPERLINK("http://www.lxhausys.co.kr/popup/rn/download/downloadPopup.jsp?from=plwindow&amp;uu=/upload/window/REPORT/LGH-TW19-041.pdf","4등급"),IF(X924&lt;=2.8,HYPERLINK("http://www.lxhausys.co.kr/popup/rn/download/downloadPopup.jsp?from=plwindow&amp;uu=/upload/window/REPORT/LGH-TW19-041.pdf","5등급"),HYPERLINK("http://www.lxhausys.co.kr/popup/rn/download/downloadPopup.jsp?from=plwindow&amp;uu=/upload/window/REPORT/LGH-TW19-041.pdf","등급외"))))))</f>
        <v>4등급</v>
      </c>
      <c r="L924" s="5">
        <v>2.2269999999999999</v>
      </c>
      <c r="M924" s="5" t="s">
        <v>103</v>
      </c>
      <c r="N924" s="5" t="s">
        <v>607</v>
      </c>
      <c r="O924" s="5" t="s">
        <v>19</v>
      </c>
      <c r="P924" s="5" t="s">
        <v>19</v>
      </c>
      <c r="Q924" s="5" t="s">
        <v>19</v>
      </c>
      <c r="R924" s="5" t="s">
        <v>19</v>
      </c>
      <c r="S924" s="5" t="s">
        <v>19</v>
      </c>
      <c r="T924" s="5" t="s">
        <v>19</v>
      </c>
      <c r="U924" s="5" t="s">
        <v>19</v>
      </c>
      <c r="V924" s="5" t="s">
        <v>19</v>
      </c>
      <c r="W924" s="5" t="s">
        <v>19</v>
      </c>
      <c r="X924" s="19">
        <f t="shared" si="8"/>
        <v>2.2269999999999999</v>
      </c>
    </row>
    <row r="925" spans="1:24">
      <c r="A925" t="s">
        <v>202</v>
      </c>
      <c r="B925" t="s">
        <v>19</v>
      </c>
      <c r="C925" t="s">
        <v>20</v>
      </c>
      <c r="D925" t="s">
        <v>235</v>
      </c>
      <c r="E925" t="s">
        <v>19</v>
      </c>
      <c r="F925" t="s">
        <v>19</v>
      </c>
      <c r="G925" t="s">
        <v>19</v>
      </c>
      <c r="H925" t="s">
        <v>19</v>
      </c>
      <c r="I925" t="s">
        <v>19</v>
      </c>
      <c r="J925" t="s">
        <v>74</v>
      </c>
      <c r="K925" s="21" t="str">
        <f>IF(X925&lt;=0.9,HYPERLINK("http://www.lxhausys.co.kr/popup/rn/download/downloadPopup.jsp?from=plwindow&amp;uu=/upload/window/REPORT/LGH-TW19-042.pdf","1등급"),IF(X925&lt;=1.2,HYPERLINK("http://www.lxhausys.co.kr/popup/rn/download/downloadPopup.jsp?from=plwindow&amp;uu=/upload/window/REPORT/LGH-TW19-042.pdf","2등급"),IF(X925&lt;=1.8,HYPERLINK("http://www.lxhausys.co.kr/popup/rn/download/downloadPopup.jsp?from=plwindow&amp;uu=/upload/window/REPORT/LGH-TW19-042.pdf","3등급"),IF(X925&lt;=2.3,HYPERLINK("http://www.lxhausys.co.kr/popup/rn/download/downloadPopup.jsp?from=plwindow&amp;uu=/upload/window/REPORT/LGH-TW19-042.pdf","4등급"),IF(X925&lt;=2.8,HYPERLINK("http://www.lxhausys.co.kr/popup/rn/download/downloadPopup.jsp?from=plwindow&amp;uu=/upload/window/REPORT/LGH-TW19-042.pdf","5등급"),HYPERLINK("http://www.lxhausys.co.kr/popup/rn/download/downloadPopup.jsp?from=plwindow&amp;uu=/upload/window/REPORT/LGH-TW19-042.pdf","등급외"))))))</f>
        <v>4등급</v>
      </c>
      <c r="L925" s="5">
        <v>2.165</v>
      </c>
      <c r="M925" s="5" t="s">
        <v>103</v>
      </c>
      <c r="N925" s="5" t="s">
        <v>607</v>
      </c>
      <c r="O925" s="5" t="s">
        <v>19</v>
      </c>
      <c r="P925" s="5" t="s">
        <v>19</v>
      </c>
      <c r="Q925" s="5" t="s">
        <v>19</v>
      </c>
      <c r="R925" s="5" t="s">
        <v>19</v>
      </c>
      <c r="S925" s="5" t="s">
        <v>19</v>
      </c>
      <c r="T925" s="5" t="s">
        <v>19</v>
      </c>
      <c r="U925" s="5" t="s">
        <v>19</v>
      </c>
      <c r="V925" s="5" t="s">
        <v>19</v>
      </c>
      <c r="W925" s="5" t="s">
        <v>19</v>
      </c>
      <c r="X925" s="19">
        <f t="shared" si="8"/>
        <v>2.165</v>
      </c>
    </row>
    <row r="926" spans="1:24">
      <c r="A926" t="s">
        <v>144</v>
      </c>
      <c r="B926" t="s">
        <v>19</v>
      </c>
      <c r="C926" t="s">
        <v>14</v>
      </c>
      <c r="D926" t="s">
        <v>21</v>
      </c>
      <c r="E926" t="s">
        <v>19</v>
      </c>
      <c r="F926" t="s">
        <v>19</v>
      </c>
      <c r="G926" t="s">
        <v>19</v>
      </c>
      <c r="H926" t="s">
        <v>21</v>
      </c>
      <c r="I926" t="s">
        <v>19</v>
      </c>
      <c r="J926" t="s">
        <v>99</v>
      </c>
      <c r="K926" s="21" t="s">
        <v>607</v>
      </c>
      <c r="L926" s="5" t="s">
        <v>19</v>
      </c>
      <c r="M926" s="5" t="s">
        <v>19</v>
      </c>
      <c r="N926" s="5" t="s">
        <v>19</v>
      </c>
      <c r="O926" s="5" t="s">
        <v>19</v>
      </c>
      <c r="P926" s="5" t="s">
        <v>19</v>
      </c>
      <c r="Q926" s="5" t="s">
        <v>19</v>
      </c>
      <c r="R926" s="5" t="s">
        <v>19</v>
      </c>
      <c r="S926" s="5" t="s">
        <v>19</v>
      </c>
      <c r="T926" s="5" t="str">
        <f>HYPERLINK("http://www.lghausys.co.kr/popup/rn/download/downloadPopup.jsp?from=plwindow&amp;uu=/upload/window/REPORT/LGH-DA19-023.pdf","결로발생없음")</f>
        <v>결로발생없음</v>
      </c>
      <c r="U926" s="5" t="s">
        <v>19</v>
      </c>
      <c r="V926" s="5" t="s">
        <v>19</v>
      </c>
      <c r="W926" s="5" t="s">
        <v>75</v>
      </c>
      <c r="X926"/>
    </row>
    <row r="927" spans="1:24">
      <c r="A927" t="s">
        <v>52</v>
      </c>
      <c r="B927" t="s">
        <v>19</v>
      </c>
      <c r="C927" t="s">
        <v>31</v>
      </c>
      <c r="D927" t="s">
        <v>25</v>
      </c>
      <c r="E927" t="s">
        <v>19</v>
      </c>
      <c r="F927" t="s">
        <v>19</v>
      </c>
      <c r="G927" t="s">
        <v>19</v>
      </c>
      <c r="H927" t="s">
        <v>28</v>
      </c>
      <c r="I927" t="s">
        <v>19</v>
      </c>
      <c r="J927" t="s">
        <v>145</v>
      </c>
      <c r="K927" s="21" t="s">
        <v>607</v>
      </c>
      <c r="L927" s="5" t="s">
        <v>19</v>
      </c>
      <c r="M927" s="5" t="s">
        <v>19</v>
      </c>
      <c r="N927" s="5" t="s">
        <v>19</v>
      </c>
      <c r="O927" s="5" t="str">
        <f>HYPERLINK("http://www.lghausys.co.kr/popup/rn/download/downloadPopup.jsp?from=plwindow&amp;uu=/upload/window/REPORT/LGH-WA19-199.pdf","1등급")</f>
        <v>1등급</v>
      </c>
      <c r="P927" s="5" t="s">
        <v>19</v>
      </c>
      <c r="Q927" s="5" t="s">
        <v>19</v>
      </c>
      <c r="R927" s="5" t="s">
        <v>19</v>
      </c>
      <c r="S927" s="5" t="s">
        <v>19</v>
      </c>
      <c r="T927" s="5" t="s">
        <v>19</v>
      </c>
      <c r="U927" s="5" t="s">
        <v>19</v>
      </c>
      <c r="V927" s="5" t="s">
        <v>19</v>
      </c>
      <c r="W927" s="5" t="s">
        <v>152</v>
      </c>
      <c r="X927"/>
    </row>
    <row r="928" spans="1:24">
      <c r="A928" t="s">
        <v>19</v>
      </c>
      <c r="B928" t="s">
        <v>83</v>
      </c>
      <c r="C928" t="s">
        <v>31</v>
      </c>
      <c r="D928" t="s">
        <v>28</v>
      </c>
      <c r="E928" t="s">
        <v>19</v>
      </c>
      <c r="F928" t="s">
        <v>19</v>
      </c>
      <c r="G928" t="s">
        <v>19</v>
      </c>
      <c r="H928" t="s">
        <v>19</v>
      </c>
      <c r="I928" t="s">
        <v>19</v>
      </c>
      <c r="J928" t="s">
        <v>97</v>
      </c>
      <c r="K928" s="21" t="s">
        <v>607</v>
      </c>
      <c r="L928" s="5" t="s">
        <v>19</v>
      </c>
      <c r="M928" s="5" t="s">
        <v>19</v>
      </c>
      <c r="N928" s="5" t="s">
        <v>19</v>
      </c>
      <c r="O928" s="5" t="str">
        <f>HYPERLINK("http://www.lghausys.co.kr/popup/rn/download/downloadPopup.jsp?from=plwindow&amp;uu=/upload/window/REPORT/LGH-WA19-200.pdf","2등급")</f>
        <v>2등급</v>
      </c>
      <c r="P928" s="5" t="s">
        <v>19</v>
      </c>
      <c r="Q928" s="5" t="s">
        <v>19</v>
      </c>
      <c r="R928" s="5" t="s">
        <v>19</v>
      </c>
      <c r="S928" s="5" t="s">
        <v>19</v>
      </c>
      <c r="T928" s="5" t="s">
        <v>19</v>
      </c>
      <c r="U928" s="5" t="s">
        <v>19</v>
      </c>
      <c r="V928" s="5" t="s">
        <v>19</v>
      </c>
      <c r="W928" s="5" t="s">
        <v>152</v>
      </c>
      <c r="X928"/>
    </row>
    <row r="929" spans="1:24">
      <c r="A929" t="s">
        <v>52</v>
      </c>
      <c r="B929" t="s">
        <v>19</v>
      </c>
      <c r="C929" t="s">
        <v>31</v>
      </c>
      <c r="D929" t="s">
        <v>21</v>
      </c>
      <c r="E929" t="s">
        <v>19</v>
      </c>
      <c r="F929" t="s">
        <v>19</v>
      </c>
      <c r="G929" t="s">
        <v>19</v>
      </c>
      <c r="H929" t="s">
        <v>21</v>
      </c>
      <c r="I929" t="s">
        <v>19</v>
      </c>
      <c r="J929" t="s">
        <v>145</v>
      </c>
      <c r="K929" s="21" t="s">
        <v>607</v>
      </c>
      <c r="L929" s="5" t="s">
        <v>19</v>
      </c>
      <c r="M929" s="5" t="s">
        <v>19</v>
      </c>
      <c r="N929" s="5" t="s">
        <v>19</v>
      </c>
      <c r="O929" s="5" t="str">
        <f>HYPERLINK("http://www.lghausys.co.kr/popup/rn/download/downloadPopup.jsp?from=plwindow&amp;uu=/upload/window/REPORT/LGH-WA19-201.pdf","1등급")</f>
        <v>1등급</v>
      </c>
      <c r="P929" s="5" t="s">
        <v>19</v>
      </c>
      <c r="Q929" s="5" t="s">
        <v>19</v>
      </c>
      <c r="R929" s="5" t="s">
        <v>19</v>
      </c>
      <c r="S929" s="5" t="s">
        <v>19</v>
      </c>
      <c r="T929" s="5" t="s">
        <v>19</v>
      </c>
      <c r="U929" s="5" t="s">
        <v>19</v>
      </c>
      <c r="V929" s="5" t="s">
        <v>19</v>
      </c>
      <c r="W929" s="5" t="s">
        <v>152</v>
      </c>
      <c r="X929"/>
    </row>
    <row r="930" spans="1:24">
      <c r="A930" t="s">
        <v>19</v>
      </c>
      <c r="B930" t="s">
        <v>82</v>
      </c>
      <c r="C930" t="s">
        <v>31</v>
      </c>
      <c r="D930" t="s">
        <v>21</v>
      </c>
      <c r="E930" t="s">
        <v>19</v>
      </c>
      <c r="F930" t="s">
        <v>19</v>
      </c>
      <c r="G930" t="s">
        <v>19</v>
      </c>
      <c r="H930" t="s">
        <v>19</v>
      </c>
      <c r="I930" t="s">
        <v>19</v>
      </c>
      <c r="J930" t="s">
        <v>97</v>
      </c>
      <c r="K930" s="21" t="s">
        <v>607</v>
      </c>
      <c r="L930" s="5" t="s">
        <v>19</v>
      </c>
      <c r="M930" s="5" t="s">
        <v>19</v>
      </c>
      <c r="N930" s="5" t="s">
        <v>19</v>
      </c>
      <c r="O930" s="5" t="str">
        <f>HYPERLINK("http://www.lghausys.co.kr/popup/rn/download/downloadPopup.jsp?from=plwindow&amp;uu=/upload/window/REPORT/LGH-WA19-202.pdf","2등급")</f>
        <v>2등급</v>
      </c>
      <c r="P930" s="5" t="s">
        <v>19</v>
      </c>
      <c r="Q930" s="5" t="s">
        <v>19</v>
      </c>
      <c r="R930" s="5" t="s">
        <v>19</v>
      </c>
      <c r="S930" s="5" t="s">
        <v>19</v>
      </c>
      <c r="T930" s="5" t="s">
        <v>19</v>
      </c>
      <c r="U930" s="5" t="s">
        <v>19</v>
      </c>
      <c r="V930" s="5" t="s">
        <v>19</v>
      </c>
      <c r="W930" s="5" t="s">
        <v>152</v>
      </c>
      <c r="X930"/>
    </row>
    <row r="931" spans="1:24">
      <c r="A931" t="s">
        <v>222</v>
      </c>
      <c r="B931" t="s">
        <v>19</v>
      </c>
      <c r="C931" t="s">
        <v>31</v>
      </c>
      <c r="D931" t="s">
        <v>66</v>
      </c>
      <c r="E931" t="s">
        <v>194</v>
      </c>
      <c r="F931" t="s">
        <v>19</v>
      </c>
      <c r="G931" t="s">
        <v>19</v>
      </c>
      <c r="H931" t="s">
        <v>64</v>
      </c>
      <c r="I931" t="s">
        <v>19</v>
      </c>
      <c r="J931" t="s">
        <v>97</v>
      </c>
      <c r="K931" s="21" t="s">
        <v>607</v>
      </c>
      <c r="L931" s="5" t="s">
        <v>19</v>
      </c>
      <c r="M931" s="5" t="s">
        <v>19</v>
      </c>
      <c r="N931" s="5" t="s">
        <v>19</v>
      </c>
      <c r="O931" s="5" t="str">
        <f>HYPERLINK("http://www.lghausys.co.kr/popup/rn/download/downloadPopup.jsp?from=plwindow&amp;uu=/upload/window/REPORT/LGH-WA19-203.pdf","1등급")</f>
        <v>1등급</v>
      </c>
      <c r="P931" s="5" t="str">
        <f>HYPERLINK("http://www.lghausys.co.kr/popup/rn/download/downloadPopup.jsp?from=plwindow&amp;uu=/upload/window/REPORT/LGH-WA19-203.pdf","50등급")</f>
        <v>50등급</v>
      </c>
      <c r="Q931" s="5" t="str">
        <f>HYPERLINK("http://www.lghausys.co.kr/popup/rn/download/downloadPopup.jsp?from=plwindow&amp;uu=/upload/window/REPORT/LGH-WA19-203.pdf","400등급")</f>
        <v>400등급</v>
      </c>
      <c r="R931" s="5" t="s">
        <v>19</v>
      </c>
      <c r="S931" s="5" t="s">
        <v>19</v>
      </c>
      <c r="T931" s="5" t="s">
        <v>19</v>
      </c>
      <c r="U931" s="5" t="s">
        <v>19</v>
      </c>
      <c r="V931" s="5" t="s">
        <v>19</v>
      </c>
      <c r="W931" s="5" t="s">
        <v>152</v>
      </c>
      <c r="X931"/>
    </row>
    <row r="932" spans="1:24">
      <c r="A932" t="s">
        <v>130</v>
      </c>
      <c r="B932" t="s">
        <v>19</v>
      </c>
      <c r="C932" t="s">
        <v>20</v>
      </c>
      <c r="D932" t="s">
        <v>241</v>
      </c>
      <c r="E932" t="s">
        <v>19</v>
      </c>
      <c r="F932" t="s">
        <v>19</v>
      </c>
      <c r="G932" t="s">
        <v>19</v>
      </c>
      <c r="H932" t="s">
        <v>19</v>
      </c>
      <c r="I932" t="s">
        <v>19</v>
      </c>
      <c r="J932" t="s">
        <v>74</v>
      </c>
      <c r="K932" s="21" t="str">
        <f>IF(X932&lt;=0.9,HYPERLINK("http://www.lxhausys.co.kr/popup/rn/download/downloadPopup.jsp?from=plwindow&amp;uu=/upload/window/REPORT/LGH-TW19-043.pdf","1등급"),IF(X932&lt;=1.2,HYPERLINK("http://www.lxhausys.co.kr/popup/rn/download/downloadPopup.jsp?from=plwindow&amp;uu=/upload/window/REPORT/LGH-TW19-043.pdf","2등급"),IF(X932&lt;=1.8,HYPERLINK("http://www.lxhausys.co.kr/popup/rn/download/downloadPopup.jsp?from=plwindow&amp;uu=/upload/window/REPORT/LGH-TW19-043.pdf","3등급"),IF(X932&lt;=2.3,HYPERLINK("http://www.lxhausys.co.kr/popup/rn/download/downloadPopup.jsp?from=plwindow&amp;uu=/upload/window/REPORT/LGH-TW19-043.pdf","4등급"),IF(X932&lt;=2.8,HYPERLINK("http://www.lxhausys.co.kr/popup/rn/download/downloadPopup.jsp?from=plwindow&amp;uu=/upload/window/REPORT/LGH-TW19-043.pdf","5등급"),HYPERLINK("http://www.lxhausys.co.kr/popup/rn/download/downloadPopup.jsp?from=plwindow&amp;uu=/upload/window/REPORT/LGH-TW19-043.pdf","등급외"))))))</f>
        <v>4등급</v>
      </c>
      <c r="L932" s="5">
        <v>2.1930000000000001</v>
      </c>
      <c r="M932" s="5" t="s">
        <v>103</v>
      </c>
      <c r="N932" s="5" t="s">
        <v>607</v>
      </c>
      <c r="O932" s="5" t="s">
        <v>19</v>
      </c>
      <c r="P932" s="5" t="s">
        <v>19</v>
      </c>
      <c r="Q932" s="5" t="s">
        <v>19</v>
      </c>
      <c r="R932" s="5" t="s">
        <v>19</v>
      </c>
      <c r="S932" s="5" t="s">
        <v>19</v>
      </c>
      <c r="T932" s="5" t="s">
        <v>19</v>
      </c>
      <c r="U932" s="5" t="s">
        <v>19</v>
      </c>
      <c r="V932" s="5" t="s">
        <v>19</v>
      </c>
      <c r="W932" s="5" t="s">
        <v>19</v>
      </c>
      <c r="X932" s="19">
        <f t="shared" ref="X932:X944" si="9">L932</f>
        <v>2.1930000000000001</v>
      </c>
    </row>
    <row r="933" spans="1:24">
      <c r="A933" t="s">
        <v>130</v>
      </c>
      <c r="B933" t="s">
        <v>19</v>
      </c>
      <c r="C933" t="s">
        <v>20</v>
      </c>
      <c r="D933" t="s">
        <v>235</v>
      </c>
      <c r="E933" t="s">
        <v>19</v>
      </c>
      <c r="F933" t="s">
        <v>19</v>
      </c>
      <c r="G933" t="s">
        <v>19</v>
      </c>
      <c r="H933" t="s">
        <v>19</v>
      </c>
      <c r="I933" t="s">
        <v>19</v>
      </c>
      <c r="J933" t="s">
        <v>74</v>
      </c>
      <c r="K933" s="21" t="str">
        <f>IF(X933&lt;=0.9,HYPERLINK("http://www.lxhausys.co.kr/popup/rn/download/downloadPopup.jsp?from=plwindow&amp;uu=/upload/window/REPORT/LGH-TW19-044.pdf","1등급"),IF(X933&lt;=1.2,HYPERLINK("http://www.lxhausys.co.kr/popup/rn/download/downloadPopup.jsp?from=plwindow&amp;uu=/upload/window/REPORT/LGH-TW19-044.pdf","2등급"),IF(X933&lt;=1.8,HYPERLINK("http://www.lxhausys.co.kr/popup/rn/download/downloadPopup.jsp?from=plwindow&amp;uu=/upload/window/REPORT/LGH-TW19-044.pdf","3등급"),IF(X933&lt;=2.3,HYPERLINK("http://www.lxhausys.co.kr/popup/rn/download/downloadPopup.jsp?from=plwindow&amp;uu=/upload/window/REPORT/LGH-TW19-044.pdf","4등급"),IF(X933&lt;=2.8,HYPERLINK("http://www.lxhausys.co.kr/popup/rn/download/downloadPopup.jsp?from=plwindow&amp;uu=/upload/window/REPORT/LGH-TW19-044.pdf","5등급"),HYPERLINK("http://www.lxhausys.co.kr/popup/rn/download/downloadPopup.jsp?from=plwindow&amp;uu=/upload/window/REPORT/LGH-TW19-044.pdf","등급외"))))))</f>
        <v>4등급</v>
      </c>
      <c r="L933" s="5">
        <v>2.0529999999999999</v>
      </c>
      <c r="M933" s="5" t="s">
        <v>103</v>
      </c>
      <c r="N933" s="5" t="s">
        <v>607</v>
      </c>
      <c r="O933" s="5" t="s">
        <v>19</v>
      </c>
      <c r="P933" s="5" t="s">
        <v>19</v>
      </c>
      <c r="Q933" s="5" t="s">
        <v>19</v>
      </c>
      <c r="R933" s="5" t="s">
        <v>19</v>
      </c>
      <c r="S933" s="5" t="s">
        <v>19</v>
      </c>
      <c r="T933" s="5" t="s">
        <v>19</v>
      </c>
      <c r="U933" s="5" t="s">
        <v>19</v>
      </c>
      <c r="V933" s="5" t="s">
        <v>19</v>
      </c>
      <c r="W933" s="5" t="s">
        <v>19</v>
      </c>
      <c r="X933" s="19">
        <f t="shared" si="9"/>
        <v>2.0529999999999999</v>
      </c>
    </row>
    <row r="934" spans="1:24">
      <c r="A934" t="s">
        <v>144</v>
      </c>
      <c r="B934" t="s">
        <v>19</v>
      </c>
      <c r="C934" t="s">
        <v>20</v>
      </c>
      <c r="D934" t="s">
        <v>241</v>
      </c>
      <c r="E934" t="s">
        <v>19</v>
      </c>
      <c r="F934" t="s">
        <v>19</v>
      </c>
      <c r="G934" t="s">
        <v>19</v>
      </c>
      <c r="H934" t="s">
        <v>241</v>
      </c>
      <c r="I934" t="s">
        <v>19</v>
      </c>
      <c r="J934" t="s">
        <v>74</v>
      </c>
      <c r="K934" s="21" t="str">
        <f>IF(X934&lt;=0.9,HYPERLINK("http://www.lxhausys.co.kr/popup/rn/download/downloadPopup.jsp?from=plwindow&amp;uu=/upload/window/REPORT/LGH-TW19-045.pdf","1등급"),IF(X934&lt;=1.2,HYPERLINK("http://www.lxhausys.co.kr/popup/rn/download/downloadPopup.jsp?from=plwindow&amp;uu=/upload/window/REPORT/LGH-TW19-045.pdf","2등급"),IF(X934&lt;=1.8,HYPERLINK("http://www.lxhausys.co.kr/popup/rn/download/downloadPopup.jsp?from=plwindow&amp;uu=/upload/window/REPORT/LGH-TW19-045.pdf","3등급"),IF(X934&lt;=2.3,HYPERLINK("http://www.lxhausys.co.kr/popup/rn/download/downloadPopup.jsp?from=plwindow&amp;uu=/upload/window/REPORT/LGH-TW19-045.pdf","4등급"),IF(X934&lt;=2.8,HYPERLINK("http://www.lxhausys.co.kr/popup/rn/download/downloadPopup.jsp?from=plwindow&amp;uu=/upload/window/REPORT/LGH-TW19-045.pdf","5등급"),HYPERLINK("http://www.lxhausys.co.kr/popup/rn/download/downloadPopup.jsp?from=plwindow&amp;uu=/upload/window/REPORT/LGH-TW19-045.pdf","등급외"))))))</f>
        <v>1등급</v>
      </c>
      <c r="L934" s="5">
        <v>0.83499999999999996</v>
      </c>
      <c r="M934" s="5" t="s">
        <v>22</v>
      </c>
      <c r="N934" s="5" t="s">
        <v>607</v>
      </c>
      <c r="O934" s="5" t="s">
        <v>19</v>
      </c>
      <c r="P934" s="5" t="s">
        <v>19</v>
      </c>
      <c r="Q934" s="5" t="s">
        <v>19</v>
      </c>
      <c r="R934" s="5" t="s">
        <v>19</v>
      </c>
      <c r="S934" s="5" t="s">
        <v>19</v>
      </c>
      <c r="T934" s="5" t="s">
        <v>19</v>
      </c>
      <c r="U934" s="5" t="s">
        <v>19</v>
      </c>
      <c r="V934" s="5" t="s">
        <v>19</v>
      </c>
      <c r="W934" s="5" t="s">
        <v>19</v>
      </c>
      <c r="X934" s="19">
        <f t="shared" si="9"/>
        <v>0.83499999999999996</v>
      </c>
    </row>
    <row r="935" spans="1:24">
      <c r="A935" t="s">
        <v>144</v>
      </c>
      <c r="B935" t="s">
        <v>19</v>
      </c>
      <c r="C935" t="s">
        <v>20</v>
      </c>
      <c r="D935" t="s">
        <v>68</v>
      </c>
      <c r="E935" t="s">
        <v>19</v>
      </c>
      <c r="F935" t="s">
        <v>19</v>
      </c>
      <c r="G935" t="s">
        <v>19</v>
      </c>
      <c r="H935" t="s">
        <v>235</v>
      </c>
      <c r="I935" t="s">
        <v>19</v>
      </c>
      <c r="J935" t="s">
        <v>74</v>
      </c>
      <c r="K935" s="21" t="str">
        <f>IF(X935&lt;=0.9,HYPERLINK("http://www.lxhausys.co.kr/popup/rn/download/downloadPopup.jsp?from=plwindow&amp;uu=/upload/window/REPORT/LGH-TW19-046.pdf","1등급"),IF(X935&lt;=1.2,HYPERLINK("http://www.lxhausys.co.kr/popup/rn/download/downloadPopup.jsp?from=plwindow&amp;uu=/upload/window/REPORT/LGH-TW19-046.pdf","2등급"),IF(X935&lt;=1.8,HYPERLINK("http://www.lxhausys.co.kr/popup/rn/download/downloadPopup.jsp?from=plwindow&amp;uu=/upload/window/REPORT/LGH-TW19-046.pdf","3등급"),IF(X935&lt;=2.3,HYPERLINK("http://www.lxhausys.co.kr/popup/rn/download/downloadPopup.jsp?from=plwindow&amp;uu=/upload/window/REPORT/LGH-TW19-046.pdf","4등급"),IF(X935&lt;=2.8,HYPERLINK("http://www.lxhausys.co.kr/popup/rn/download/downloadPopup.jsp?from=plwindow&amp;uu=/upload/window/REPORT/LGH-TW19-046.pdf","5등급"),HYPERLINK("http://www.lxhausys.co.kr/popup/rn/download/downloadPopup.jsp?from=plwindow&amp;uu=/upload/window/REPORT/LGH-TW19-046.pdf","등급외"))))))</f>
        <v>2등급</v>
      </c>
      <c r="L935" s="5">
        <v>0.94400000000000006</v>
      </c>
      <c r="M935" s="5" t="s">
        <v>22</v>
      </c>
      <c r="N935" s="5" t="s">
        <v>607</v>
      </c>
      <c r="O935" s="5" t="s">
        <v>19</v>
      </c>
      <c r="P935" s="5" t="s">
        <v>19</v>
      </c>
      <c r="Q935" s="5" t="s">
        <v>19</v>
      </c>
      <c r="R935" s="5" t="s">
        <v>19</v>
      </c>
      <c r="S935" s="5" t="s">
        <v>19</v>
      </c>
      <c r="T935" s="5" t="s">
        <v>19</v>
      </c>
      <c r="U935" s="5" t="s">
        <v>19</v>
      </c>
      <c r="V935" s="5" t="s">
        <v>19</v>
      </c>
      <c r="W935" s="5" t="s">
        <v>19</v>
      </c>
      <c r="X935" s="19">
        <f t="shared" si="9"/>
        <v>0.94400000000000006</v>
      </c>
    </row>
    <row r="936" spans="1:24">
      <c r="A936" t="s">
        <v>100</v>
      </c>
      <c r="B936" t="s">
        <v>19</v>
      </c>
      <c r="C936" t="s">
        <v>20</v>
      </c>
      <c r="D936" t="s">
        <v>241</v>
      </c>
      <c r="E936" t="s">
        <v>19</v>
      </c>
      <c r="F936" t="s">
        <v>19</v>
      </c>
      <c r="G936" t="s">
        <v>19</v>
      </c>
      <c r="H936" t="s">
        <v>241</v>
      </c>
      <c r="I936" t="s">
        <v>19</v>
      </c>
      <c r="J936" t="s">
        <v>74</v>
      </c>
      <c r="K936" s="21" t="str">
        <f>IF(X936&lt;=0.9,HYPERLINK("http://www.lxhausys.co.kr/popup/rn/download/downloadPopup.jsp?from=plwindow&amp;uu=/upload/window/REPORT/LGH-TW19-047.pdf","1등급"),IF(X936&lt;=1.2,HYPERLINK("http://www.lxhausys.co.kr/popup/rn/download/downloadPopup.jsp?from=plwindow&amp;uu=/upload/window/REPORT/LGH-TW19-047.pdf","2등급"),IF(X936&lt;=1.8,HYPERLINK("http://www.lxhausys.co.kr/popup/rn/download/downloadPopup.jsp?from=plwindow&amp;uu=/upload/window/REPORT/LGH-TW19-047.pdf","3등급"),IF(X936&lt;=2.3,HYPERLINK("http://www.lxhausys.co.kr/popup/rn/download/downloadPopup.jsp?from=plwindow&amp;uu=/upload/window/REPORT/LGH-TW19-047.pdf","4등급"),IF(X936&lt;=2.8,HYPERLINK("http://www.lxhausys.co.kr/popup/rn/download/downloadPopup.jsp?from=plwindow&amp;uu=/upload/window/REPORT/LGH-TW19-047.pdf","5등급"),HYPERLINK("http://www.lxhausys.co.kr/popup/rn/download/downloadPopup.jsp?from=plwindow&amp;uu=/upload/window/REPORT/LGH-TW19-047.pdf","등급외"))))))</f>
        <v>1등급</v>
      </c>
      <c r="L936" s="5">
        <v>0.83299999999999996</v>
      </c>
      <c r="M936" s="5" t="s">
        <v>22</v>
      </c>
      <c r="N936" s="5" t="s">
        <v>607</v>
      </c>
      <c r="O936" s="5" t="s">
        <v>19</v>
      </c>
      <c r="P936" s="5" t="s">
        <v>19</v>
      </c>
      <c r="Q936" s="5" t="s">
        <v>19</v>
      </c>
      <c r="R936" s="5" t="s">
        <v>19</v>
      </c>
      <c r="S936" s="5" t="s">
        <v>19</v>
      </c>
      <c r="T936" s="5" t="s">
        <v>19</v>
      </c>
      <c r="U936" s="5" t="s">
        <v>19</v>
      </c>
      <c r="V936" s="5" t="s">
        <v>19</v>
      </c>
      <c r="W936" s="5" t="s">
        <v>19</v>
      </c>
      <c r="X936" s="19">
        <f t="shared" si="9"/>
        <v>0.83299999999999996</v>
      </c>
    </row>
    <row r="937" spans="1:24">
      <c r="A937" t="s">
        <v>100</v>
      </c>
      <c r="B937" t="s">
        <v>19</v>
      </c>
      <c r="C937" t="s">
        <v>20</v>
      </c>
      <c r="D937" t="s">
        <v>68</v>
      </c>
      <c r="E937" t="s">
        <v>19</v>
      </c>
      <c r="F937" t="s">
        <v>19</v>
      </c>
      <c r="G937" t="s">
        <v>19</v>
      </c>
      <c r="H937" t="s">
        <v>235</v>
      </c>
      <c r="I937" t="s">
        <v>19</v>
      </c>
      <c r="J937" t="s">
        <v>74</v>
      </c>
      <c r="K937" s="21" t="str">
        <f>IF(X937&lt;=0.9,HYPERLINK("http://www.lxhausys.co.kr/popup/rn/download/downloadPopup.jsp?from=plwindow&amp;uu=/upload/window/REPORT/LGH-TW19-048.pdf","1등급"),IF(X937&lt;=1.2,HYPERLINK("http://www.lxhausys.co.kr/popup/rn/download/downloadPopup.jsp?from=plwindow&amp;uu=/upload/window/REPORT/LGH-TW19-048.pdf","2등급"),IF(X937&lt;=1.8,HYPERLINK("http://www.lxhausys.co.kr/popup/rn/download/downloadPopup.jsp?from=plwindow&amp;uu=/upload/window/REPORT/LGH-TW19-048.pdf","3등급"),IF(X937&lt;=2.3,HYPERLINK("http://www.lxhausys.co.kr/popup/rn/download/downloadPopup.jsp?from=plwindow&amp;uu=/upload/window/REPORT/LGH-TW19-048.pdf","4등급"),IF(X937&lt;=2.8,HYPERLINK("http://www.lxhausys.co.kr/popup/rn/download/downloadPopup.jsp?from=plwindow&amp;uu=/upload/window/REPORT/LGH-TW19-048.pdf","5등급"),HYPERLINK("http://www.lxhausys.co.kr/popup/rn/download/downloadPopup.jsp?from=plwindow&amp;uu=/upload/window/REPORT/LGH-TW19-048.pdf","등급외"))))))</f>
        <v>2등급</v>
      </c>
      <c r="L937" s="5">
        <v>0.93599999999999994</v>
      </c>
      <c r="M937" s="5" t="s">
        <v>22</v>
      </c>
      <c r="N937" s="5" t="s">
        <v>607</v>
      </c>
      <c r="O937" s="5" t="s">
        <v>19</v>
      </c>
      <c r="P937" s="5" t="s">
        <v>19</v>
      </c>
      <c r="Q937" s="5" t="s">
        <v>19</v>
      </c>
      <c r="R937" s="5" t="s">
        <v>19</v>
      </c>
      <c r="S937" s="5" t="s">
        <v>19</v>
      </c>
      <c r="T937" s="5" t="s">
        <v>19</v>
      </c>
      <c r="U937" s="5" t="s">
        <v>19</v>
      </c>
      <c r="V937" s="5" t="s">
        <v>19</v>
      </c>
      <c r="W937" s="5" t="s">
        <v>19</v>
      </c>
      <c r="X937" s="19">
        <f t="shared" si="9"/>
        <v>0.93599999999999994</v>
      </c>
    </row>
    <row r="938" spans="1:24">
      <c r="A938" t="s">
        <v>173</v>
      </c>
      <c r="B938" t="s">
        <v>19</v>
      </c>
      <c r="C938" t="s">
        <v>20</v>
      </c>
      <c r="D938" t="s">
        <v>241</v>
      </c>
      <c r="E938" t="s">
        <v>19</v>
      </c>
      <c r="F938" t="s">
        <v>19</v>
      </c>
      <c r="G938" t="s">
        <v>19</v>
      </c>
      <c r="H938" t="s">
        <v>241</v>
      </c>
      <c r="I938" t="s">
        <v>19</v>
      </c>
      <c r="J938" t="s">
        <v>74</v>
      </c>
      <c r="K938" s="21" t="str">
        <f>IF(X938&lt;=0.9,HYPERLINK("http://www.lxhausys.co.kr/popup/rn/download/downloadPopup.jsp?from=plwindow&amp;uu=/upload/window/REPORT/LGH-TW19-051.pdf","1등급"),IF(X938&lt;=1.2,HYPERLINK("http://www.lxhausys.co.kr/popup/rn/download/downloadPopup.jsp?from=plwindow&amp;uu=/upload/window/REPORT/LGH-TW19-051.pdf","2등급"),IF(X938&lt;=1.8,HYPERLINK("http://www.lxhausys.co.kr/popup/rn/download/downloadPopup.jsp?from=plwindow&amp;uu=/upload/window/REPORT/LGH-TW19-051.pdf","3등급"),IF(X938&lt;=2.3,HYPERLINK("http://www.lxhausys.co.kr/popup/rn/download/downloadPopup.jsp?from=plwindow&amp;uu=/upload/window/REPORT/LGH-TW19-051.pdf","4등급"),IF(X938&lt;=2.8,HYPERLINK("http://www.lxhausys.co.kr/popup/rn/download/downloadPopup.jsp?from=plwindow&amp;uu=/upload/window/REPORT/LGH-TW19-051.pdf","5등급"),HYPERLINK("http://www.lxhausys.co.kr/popup/rn/download/downloadPopup.jsp?from=plwindow&amp;uu=/upload/window/REPORT/LGH-TW19-051.pdf","등급외"))))))</f>
        <v>1등급</v>
      </c>
      <c r="L938" s="5">
        <v>0.86599999999999999</v>
      </c>
      <c r="M938" s="5" t="s">
        <v>22</v>
      </c>
      <c r="N938" s="5" t="s">
        <v>607</v>
      </c>
      <c r="O938" s="5" t="s">
        <v>19</v>
      </c>
      <c r="P938" s="5" t="s">
        <v>19</v>
      </c>
      <c r="Q938" s="5" t="s">
        <v>19</v>
      </c>
      <c r="R938" s="5" t="s">
        <v>19</v>
      </c>
      <c r="S938" s="5" t="s">
        <v>19</v>
      </c>
      <c r="T938" s="5" t="s">
        <v>19</v>
      </c>
      <c r="U938" s="5" t="s">
        <v>19</v>
      </c>
      <c r="V938" s="5" t="s">
        <v>19</v>
      </c>
      <c r="W938" s="5" t="s">
        <v>19</v>
      </c>
      <c r="X938" s="19">
        <f t="shared" si="9"/>
        <v>0.86599999999999999</v>
      </c>
    </row>
    <row r="939" spans="1:24">
      <c r="A939" t="s">
        <v>73</v>
      </c>
      <c r="B939" t="s">
        <v>19</v>
      </c>
      <c r="C939" t="s">
        <v>20</v>
      </c>
      <c r="D939" t="s">
        <v>241</v>
      </c>
      <c r="E939" t="s">
        <v>19</v>
      </c>
      <c r="F939" t="s">
        <v>19</v>
      </c>
      <c r="G939" t="s">
        <v>19</v>
      </c>
      <c r="H939" t="s">
        <v>241</v>
      </c>
      <c r="I939" t="s">
        <v>19</v>
      </c>
      <c r="J939" t="s">
        <v>74</v>
      </c>
      <c r="K939" s="21" t="str">
        <f>IF(X939&lt;=0.9,HYPERLINK("http://www.lxhausys.co.kr/popup/rn/download/downloadPopup.jsp?from=plwindow&amp;uu=/upload/window/REPORT/LGH-TW19-052.pdf","1등급"),IF(X939&lt;=1.2,HYPERLINK("http://www.lxhausys.co.kr/popup/rn/download/downloadPopup.jsp?from=plwindow&amp;uu=/upload/window/REPORT/LGH-TW19-052.pdf","2등급"),IF(X939&lt;=1.8,HYPERLINK("http://www.lxhausys.co.kr/popup/rn/download/downloadPopup.jsp?from=plwindow&amp;uu=/upload/window/REPORT/LGH-TW19-052.pdf","3등급"),IF(X939&lt;=2.3,HYPERLINK("http://www.lxhausys.co.kr/popup/rn/download/downloadPopup.jsp?from=plwindow&amp;uu=/upload/window/REPORT/LGH-TW19-052.pdf","4등급"),IF(X939&lt;=2.8,HYPERLINK("http://www.lxhausys.co.kr/popup/rn/download/downloadPopup.jsp?from=plwindow&amp;uu=/upload/window/REPORT/LGH-TW19-052.pdf","5등급"),HYPERLINK("http://www.lxhausys.co.kr/popup/rn/download/downloadPopup.jsp?from=plwindow&amp;uu=/upload/window/REPORT/LGH-TW19-052.pdf","등급외"))))))</f>
        <v>1등급</v>
      </c>
      <c r="L939" s="5">
        <v>0.86900000000000011</v>
      </c>
      <c r="M939" s="5" t="s">
        <v>22</v>
      </c>
      <c r="N939" s="5" t="s">
        <v>607</v>
      </c>
      <c r="O939" s="5" t="s">
        <v>19</v>
      </c>
      <c r="P939" s="5" t="s">
        <v>19</v>
      </c>
      <c r="Q939" s="5" t="s">
        <v>19</v>
      </c>
      <c r="R939" s="5" t="s">
        <v>19</v>
      </c>
      <c r="S939" s="5" t="s">
        <v>19</v>
      </c>
      <c r="T939" s="5" t="s">
        <v>19</v>
      </c>
      <c r="U939" s="5" t="s">
        <v>19</v>
      </c>
      <c r="V939" s="5" t="s">
        <v>19</v>
      </c>
      <c r="W939" s="5" t="s">
        <v>19</v>
      </c>
      <c r="X939" s="19">
        <f t="shared" si="9"/>
        <v>0.86900000000000011</v>
      </c>
    </row>
    <row r="940" spans="1:24">
      <c r="A940" t="s">
        <v>174</v>
      </c>
      <c r="B940" t="s">
        <v>19</v>
      </c>
      <c r="C940" t="s">
        <v>20</v>
      </c>
      <c r="D940" t="s">
        <v>241</v>
      </c>
      <c r="E940" t="s">
        <v>19</v>
      </c>
      <c r="F940" t="s">
        <v>19</v>
      </c>
      <c r="G940" t="s">
        <v>19</v>
      </c>
      <c r="H940" t="s">
        <v>241</v>
      </c>
      <c r="I940" t="s">
        <v>19</v>
      </c>
      <c r="J940" t="s">
        <v>74</v>
      </c>
      <c r="K940" s="21" t="str">
        <f>IF(X940&lt;=0.9,HYPERLINK("http://www.lxhausys.co.kr/popup/rn/download/downloadPopup.jsp?from=plwindow&amp;uu=/upload/window/REPORT/LGH-TW19-053.pdf","1등급"),IF(X940&lt;=1.2,HYPERLINK("http://www.lxhausys.co.kr/popup/rn/download/downloadPopup.jsp?from=plwindow&amp;uu=/upload/window/REPORT/LGH-TW19-053.pdf","2등급"),IF(X940&lt;=1.8,HYPERLINK("http://www.lxhausys.co.kr/popup/rn/download/downloadPopup.jsp?from=plwindow&amp;uu=/upload/window/REPORT/LGH-TW19-053.pdf","3등급"),IF(X940&lt;=2.3,HYPERLINK("http://www.lxhausys.co.kr/popup/rn/download/downloadPopup.jsp?from=plwindow&amp;uu=/upload/window/REPORT/LGH-TW19-053.pdf","4등급"),IF(X940&lt;=2.8,HYPERLINK("http://www.lxhausys.co.kr/popup/rn/download/downloadPopup.jsp?from=plwindow&amp;uu=/upload/window/REPORT/LGH-TW19-053.pdf","5등급"),HYPERLINK("http://www.lxhausys.co.kr/popup/rn/download/downloadPopup.jsp?from=plwindow&amp;uu=/upload/window/REPORT/LGH-TW19-053.pdf","등급외"))))))</f>
        <v>1등급</v>
      </c>
      <c r="L940" s="5">
        <v>0.873</v>
      </c>
      <c r="M940" s="5" t="s">
        <v>22</v>
      </c>
      <c r="N940" s="5" t="s">
        <v>607</v>
      </c>
      <c r="O940" s="5" t="s">
        <v>19</v>
      </c>
      <c r="P940" s="5" t="s">
        <v>19</v>
      </c>
      <c r="Q940" s="5" t="s">
        <v>19</v>
      </c>
      <c r="R940" s="5" t="s">
        <v>19</v>
      </c>
      <c r="S940" s="5" t="s">
        <v>19</v>
      </c>
      <c r="T940" s="5" t="s">
        <v>19</v>
      </c>
      <c r="U940" s="5" t="s">
        <v>19</v>
      </c>
      <c r="V940" s="5" t="s">
        <v>19</v>
      </c>
      <c r="W940" s="5" t="s">
        <v>19</v>
      </c>
      <c r="X940" s="19">
        <f t="shared" si="9"/>
        <v>0.873</v>
      </c>
    </row>
    <row r="941" spans="1:24">
      <c r="A941" t="s">
        <v>60</v>
      </c>
      <c r="B941" t="s">
        <v>19</v>
      </c>
      <c r="C941" t="s">
        <v>20</v>
      </c>
      <c r="D941" t="s">
        <v>68</v>
      </c>
      <c r="E941" t="s">
        <v>19</v>
      </c>
      <c r="F941" t="s">
        <v>19</v>
      </c>
      <c r="G941" t="s">
        <v>19</v>
      </c>
      <c r="H941" t="s">
        <v>68</v>
      </c>
      <c r="I941" t="s">
        <v>19</v>
      </c>
      <c r="J941" t="s">
        <v>74</v>
      </c>
      <c r="K941" s="21" t="str">
        <f>IF(X941&lt;=0.9,HYPERLINK("http://www.lxhausys.co.kr/popup/rn/download/downloadPopup.jsp?from=plwindow&amp;uu=/upload/window/REPORT/LGH-TW19-054.pdf","1등급"),IF(X941&lt;=1.2,HYPERLINK("http://www.lxhausys.co.kr/popup/rn/download/downloadPopup.jsp?from=plwindow&amp;uu=/upload/window/REPORT/LGH-TW19-054.pdf","2등급"),IF(X941&lt;=1.8,HYPERLINK("http://www.lxhausys.co.kr/popup/rn/download/downloadPopup.jsp?from=plwindow&amp;uu=/upload/window/REPORT/LGH-TW19-054.pdf","3등급"),IF(X941&lt;=2.3,HYPERLINK("http://www.lxhausys.co.kr/popup/rn/download/downloadPopup.jsp?from=plwindow&amp;uu=/upload/window/REPORT/LGH-TW19-054.pdf","4등급"),IF(X941&lt;=2.8,HYPERLINK("http://www.lxhausys.co.kr/popup/rn/download/downloadPopup.jsp?from=plwindow&amp;uu=/upload/window/REPORT/LGH-TW19-054.pdf","5등급"),HYPERLINK("http://www.lxhausys.co.kr/popup/rn/download/downloadPopup.jsp?from=plwindow&amp;uu=/upload/window/REPORT/LGH-TW19-054.pdf","등급외"))))))</f>
        <v>3등급</v>
      </c>
      <c r="L941" s="5">
        <v>1.3160000000000001</v>
      </c>
      <c r="M941" s="5" t="s">
        <v>22</v>
      </c>
      <c r="N941" s="5" t="s">
        <v>607</v>
      </c>
      <c r="O941" s="5" t="s">
        <v>19</v>
      </c>
      <c r="P941" s="5" t="s">
        <v>19</v>
      </c>
      <c r="Q941" s="5" t="s">
        <v>19</v>
      </c>
      <c r="R941" s="5" t="s">
        <v>19</v>
      </c>
      <c r="S941" s="5" t="s">
        <v>19</v>
      </c>
      <c r="T941" s="5" t="s">
        <v>19</v>
      </c>
      <c r="U941" s="5" t="s">
        <v>19</v>
      </c>
      <c r="V941" s="5" t="s">
        <v>19</v>
      </c>
      <c r="W941" s="5" t="s">
        <v>19</v>
      </c>
      <c r="X941" s="19">
        <f t="shared" si="9"/>
        <v>1.3160000000000001</v>
      </c>
    </row>
    <row r="942" spans="1:24">
      <c r="A942" t="s">
        <v>135</v>
      </c>
      <c r="B942" t="s">
        <v>19</v>
      </c>
      <c r="C942" t="s">
        <v>20</v>
      </c>
      <c r="D942" t="s">
        <v>241</v>
      </c>
      <c r="E942" t="s">
        <v>242</v>
      </c>
      <c r="F942" t="s">
        <v>19</v>
      </c>
      <c r="G942" t="s">
        <v>19</v>
      </c>
      <c r="H942" t="s">
        <v>241</v>
      </c>
      <c r="I942" t="s">
        <v>19</v>
      </c>
      <c r="J942" t="s">
        <v>74</v>
      </c>
      <c r="K942" s="21" t="str">
        <f>IF(X942&lt;=0.9,HYPERLINK("http://www.lxhausys.co.kr/popup/rn/download/downloadPopup.jsp?from=plwindow&amp;uu=/upload/window/REPORT/LGH-TW19-058.pdf","1등급"),IF(X942&lt;=1.2,HYPERLINK("http://www.lxhausys.co.kr/popup/rn/download/downloadPopup.jsp?from=plwindow&amp;uu=/upload/window/REPORT/LGH-TW19-058.pdf","2등급"),IF(X942&lt;=1.8,HYPERLINK("http://www.lxhausys.co.kr/popup/rn/download/downloadPopup.jsp?from=plwindow&amp;uu=/upload/window/REPORT/LGH-TW19-058.pdf","3등급"),IF(X942&lt;=2.3,HYPERLINK("http://www.lxhausys.co.kr/popup/rn/download/downloadPopup.jsp?from=plwindow&amp;uu=/upload/window/REPORT/LGH-TW19-058.pdf","4등급"),IF(X942&lt;=2.8,HYPERLINK("http://www.lxhausys.co.kr/popup/rn/download/downloadPopup.jsp?from=plwindow&amp;uu=/upload/window/REPORT/LGH-TW19-058.pdf","5등급"),HYPERLINK("http://www.lxhausys.co.kr/popup/rn/download/downloadPopup.jsp?from=plwindow&amp;uu=/upload/window/REPORT/LGH-TW19-058.pdf","등급외"))))))</f>
        <v>1등급</v>
      </c>
      <c r="L942" s="5">
        <v>0.89599999999999991</v>
      </c>
      <c r="M942" s="5" t="s">
        <v>22</v>
      </c>
      <c r="N942" s="5" t="s">
        <v>607</v>
      </c>
      <c r="O942" s="5" t="s">
        <v>19</v>
      </c>
      <c r="P942" s="5" t="s">
        <v>19</v>
      </c>
      <c r="Q942" s="5" t="s">
        <v>19</v>
      </c>
      <c r="R942" s="5" t="s">
        <v>19</v>
      </c>
      <c r="S942" s="5" t="s">
        <v>19</v>
      </c>
      <c r="T942" s="5" t="s">
        <v>19</v>
      </c>
      <c r="U942" s="5" t="s">
        <v>19</v>
      </c>
      <c r="V942" s="5" t="s">
        <v>19</v>
      </c>
      <c r="W942" s="5" t="s">
        <v>19</v>
      </c>
      <c r="X942" s="19">
        <f t="shared" si="9"/>
        <v>0.89599999999999991</v>
      </c>
    </row>
    <row r="943" spans="1:24">
      <c r="A943" t="s">
        <v>175</v>
      </c>
      <c r="B943" t="s">
        <v>19</v>
      </c>
      <c r="C943" t="s">
        <v>20</v>
      </c>
      <c r="D943" t="s">
        <v>235</v>
      </c>
      <c r="E943" t="s">
        <v>19</v>
      </c>
      <c r="F943" t="s">
        <v>19</v>
      </c>
      <c r="G943" t="s">
        <v>19</v>
      </c>
      <c r="H943" t="s">
        <v>235</v>
      </c>
      <c r="I943" t="s">
        <v>19</v>
      </c>
      <c r="J943" t="s">
        <v>74</v>
      </c>
      <c r="K943" s="21" t="str">
        <f>IF(X943&lt;=0.9,HYPERLINK("http://www.lxhausys.co.kr/popup/rn/download/downloadPopup.jsp?from=plwindow&amp;uu=/upload/window/REPORT/LGH-TW19-059.pdf","1등급"),IF(X943&lt;=1.2,HYPERLINK("http://www.lxhausys.co.kr/popup/rn/download/downloadPopup.jsp?from=plwindow&amp;uu=/upload/window/REPORT/LGH-TW19-059.pdf","2등급"),IF(X943&lt;=1.8,HYPERLINK("http://www.lxhausys.co.kr/popup/rn/download/downloadPopup.jsp?from=plwindow&amp;uu=/upload/window/REPORT/LGH-TW19-059.pdf","3등급"),IF(X943&lt;=2.3,HYPERLINK("http://www.lxhausys.co.kr/popup/rn/download/downloadPopup.jsp?from=plwindow&amp;uu=/upload/window/REPORT/LGH-TW19-059.pdf","4등급"),IF(X943&lt;=2.8,HYPERLINK("http://www.lxhausys.co.kr/popup/rn/download/downloadPopup.jsp?from=plwindow&amp;uu=/upload/window/REPORT/LGH-TW19-059.pdf","5등급"),HYPERLINK("http://www.lxhausys.co.kr/popup/rn/download/downloadPopup.jsp?from=plwindow&amp;uu=/upload/window/REPORT/LGH-TW19-059.pdf","등급외"))))))</f>
        <v>2등급</v>
      </c>
      <c r="L943" s="5">
        <v>0.97699999999999998</v>
      </c>
      <c r="M943" s="5" t="s">
        <v>22</v>
      </c>
      <c r="N943" s="5" t="s">
        <v>607</v>
      </c>
      <c r="O943" s="5" t="s">
        <v>19</v>
      </c>
      <c r="P943" s="5" t="s">
        <v>19</v>
      </c>
      <c r="Q943" s="5" t="s">
        <v>19</v>
      </c>
      <c r="R943" s="5" t="s">
        <v>19</v>
      </c>
      <c r="S943" s="5" t="s">
        <v>19</v>
      </c>
      <c r="T943" s="5" t="s">
        <v>19</v>
      </c>
      <c r="U943" s="5" t="s">
        <v>19</v>
      </c>
      <c r="V943" s="5" t="s">
        <v>19</v>
      </c>
      <c r="W943" s="5" t="s">
        <v>19</v>
      </c>
      <c r="X943" s="19">
        <f t="shared" si="9"/>
        <v>0.97699999999999998</v>
      </c>
    </row>
    <row r="944" spans="1:24">
      <c r="A944" t="s">
        <v>133</v>
      </c>
      <c r="B944" t="s">
        <v>19</v>
      </c>
      <c r="C944" t="s">
        <v>20</v>
      </c>
      <c r="D944" t="s">
        <v>241</v>
      </c>
      <c r="E944" t="s">
        <v>242</v>
      </c>
      <c r="F944" t="s">
        <v>19</v>
      </c>
      <c r="G944" t="s">
        <v>19</v>
      </c>
      <c r="H944" t="s">
        <v>241</v>
      </c>
      <c r="I944" t="s">
        <v>19</v>
      </c>
      <c r="J944" t="s">
        <v>74</v>
      </c>
      <c r="K944" s="21" t="str">
        <f>IF(X944&lt;=0.9,HYPERLINK("http://www.lxhausys.co.kr/popup/rn/download/downloadPopup.jsp?from=plwindow&amp;uu=/upload/window/REPORT/LGH-TW19-060.pdf","1등급"),IF(X944&lt;=1.2,HYPERLINK("http://www.lxhausys.co.kr/popup/rn/download/downloadPopup.jsp?from=plwindow&amp;uu=/upload/window/REPORT/LGH-TW19-060.pdf","2등급"),IF(X944&lt;=1.8,HYPERLINK("http://www.lxhausys.co.kr/popup/rn/download/downloadPopup.jsp?from=plwindow&amp;uu=/upload/window/REPORT/LGH-TW19-060.pdf","3등급"),IF(X944&lt;=2.3,HYPERLINK("http://www.lxhausys.co.kr/popup/rn/download/downloadPopup.jsp?from=plwindow&amp;uu=/upload/window/REPORT/LGH-TW19-060.pdf","4등급"),IF(X944&lt;=2.8,HYPERLINK("http://www.lxhausys.co.kr/popup/rn/download/downloadPopup.jsp?from=plwindow&amp;uu=/upload/window/REPORT/LGH-TW19-060.pdf","5등급"),HYPERLINK("http://www.lxhausys.co.kr/popup/rn/download/downloadPopup.jsp?from=plwindow&amp;uu=/upload/window/REPORT/LGH-TW19-060.pdf","등급외"))))))</f>
        <v>1등급</v>
      </c>
      <c r="L944" s="5">
        <v>0.89400000000000002</v>
      </c>
      <c r="M944" s="5" t="s">
        <v>22</v>
      </c>
      <c r="N944" s="5" t="s">
        <v>607</v>
      </c>
      <c r="O944" s="5" t="s">
        <v>19</v>
      </c>
      <c r="P944" s="5" t="s">
        <v>19</v>
      </c>
      <c r="Q944" s="5" t="s">
        <v>19</v>
      </c>
      <c r="R944" s="5" t="s">
        <v>19</v>
      </c>
      <c r="S944" s="5" t="s">
        <v>19</v>
      </c>
      <c r="T944" s="5" t="s">
        <v>19</v>
      </c>
      <c r="U944" s="5" t="s">
        <v>19</v>
      </c>
      <c r="V944" s="5" t="s">
        <v>19</v>
      </c>
      <c r="W944" s="5" t="s">
        <v>19</v>
      </c>
      <c r="X944" s="19">
        <f t="shared" si="9"/>
        <v>0.89400000000000002</v>
      </c>
    </row>
    <row r="945" spans="1:24">
      <c r="A945" t="s">
        <v>72</v>
      </c>
      <c r="B945" t="s">
        <v>19</v>
      </c>
      <c r="C945" t="s">
        <v>31</v>
      </c>
      <c r="D945" t="s">
        <v>241</v>
      </c>
      <c r="E945" t="s">
        <v>19</v>
      </c>
      <c r="F945" t="s">
        <v>19</v>
      </c>
      <c r="G945" t="s">
        <v>19</v>
      </c>
      <c r="H945" t="s">
        <v>19</v>
      </c>
      <c r="I945" t="s">
        <v>19</v>
      </c>
      <c r="J945" t="s">
        <v>74</v>
      </c>
      <c r="K945" s="21" t="s">
        <v>607</v>
      </c>
      <c r="L945" s="5" t="s">
        <v>19</v>
      </c>
      <c r="M945" s="5" t="s">
        <v>19</v>
      </c>
      <c r="N945" s="5" t="s">
        <v>19</v>
      </c>
      <c r="O945" s="5" t="str">
        <f>HYPERLINK("http://www.lghausys.co.kr/popup/rn/download/downloadPopup.jsp?from=plwindow&amp;uu=/upload/window/REPORT/LGH-WA19-208.pdf","2등급")</f>
        <v>2등급</v>
      </c>
      <c r="P945" s="5" t="s">
        <v>19</v>
      </c>
      <c r="Q945" s="5" t="s">
        <v>19</v>
      </c>
      <c r="R945" s="5" t="s">
        <v>19</v>
      </c>
      <c r="S945" s="5" t="s">
        <v>19</v>
      </c>
      <c r="T945" s="5" t="s">
        <v>19</v>
      </c>
      <c r="U945" s="5" t="s">
        <v>19</v>
      </c>
      <c r="V945" s="5" t="s">
        <v>19</v>
      </c>
      <c r="W945" s="5" t="s">
        <v>152</v>
      </c>
      <c r="X945"/>
    </row>
    <row r="946" spans="1:24">
      <c r="A946" t="s">
        <v>72</v>
      </c>
      <c r="B946" t="s">
        <v>19</v>
      </c>
      <c r="C946" t="s">
        <v>31</v>
      </c>
      <c r="D946" t="s">
        <v>235</v>
      </c>
      <c r="E946" t="s">
        <v>19</v>
      </c>
      <c r="F946" t="s">
        <v>19</v>
      </c>
      <c r="G946" t="s">
        <v>19</v>
      </c>
      <c r="H946" t="s">
        <v>19</v>
      </c>
      <c r="I946" t="s">
        <v>19</v>
      </c>
      <c r="J946" t="s">
        <v>74</v>
      </c>
      <c r="K946" s="21" t="s">
        <v>607</v>
      </c>
      <c r="L946" s="5" t="s">
        <v>19</v>
      </c>
      <c r="M946" s="5" t="s">
        <v>19</v>
      </c>
      <c r="N946" s="5" t="s">
        <v>19</v>
      </c>
      <c r="O946" s="5" t="str">
        <f>HYPERLINK("http://www.lghausys.co.kr/popup/rn/download/downloadPopup.jsp?from=plwindow&amp;uu=/upload/window/REPORT/LGH-WA19-209.pdf","2등급")</f>
        <v>2등급</v>
      </c>
      <c r="P946" s="5" t="s">
        <v>19</v>
      </c>
      <c r="Q946" s="5" t="s">
        <v>19</v>
      </c>
      <c r="R946" s="5" t="s">
        <v>19</v>
      </c>
      <c r="S946" s="5" t="s">
        <v>19</v>
      </c>
      <c r="T946" s="5" t="s">
        <v>19</v>
      </c>
      <c r="U946" s="5" t="s">
        <v>19</v>
      </c>
      <c r="V946" s="5" t="s">
        <v>19</v>
      </c>
      <c r="W946" s="5" t="s">
        <v>152</v>
      </c>
      <c r="X946"/>
    </row>
    <row r="947" spans="1:24">
      <c r="A947" t="s">
        <v>224</v>
      </c>
      <c r="B947" t="s">
        <v>19</v>
      </c>
      <c r="C947" t="s">
        <v>31</v>
      </c>
      <c r="D947" t="s">
        <v>241</v>
      </c>
      <c r="E947" t="s">
        <v>19</v>
      </c>
      <c r="F947" t="s">
        <v>19</v>
      </c>
      <c r="G947" t="s">
        <v>19</v>
      </c>
      <c r="H947" t="s">
        <v>19</v>
      </c>
      <c r="I947" t="s">
        <v>19</v>
      </c>
      <c r="J947" t="s">
        <v>74</v>
      </c>
      <c r="K947" s="21" t="s">
        <v>607</v>
      </c>
      <c r="L947" s="5" t="s">
        <v>19</v>
      </c>
      <c r="M947" s="5" t="s">
        <v>19</v>
      </c>
      <c r="N947" s="5" t="s">
        <v>19</v>
      </c>
      <c r="O947" s="5" t="str">
        <f>HYPERLINK("http://www.lghausys.co.kr/popup/rn/download/downloadPopup.jsp?from=plwindow&amp;uu=/upload/window/REPORT/LGH-WA19-210.pdf","2등급")</f>
        <v>2등급</v>
      </c>
      <c r="P947" s="5" t="s">
        <v>19</v>
      </c>
      <c r="Q947" s="5" t="s">
        <v>19</v>
      </c>
      <c r="R947" s="5" t="s">
        <v>19</v>
      </c>
      <c r="S947" s="5" t="s">
        <v>19</v>
      </c>
      <c r="T947" s="5" t="s">
        <v>19</v>
      </c>
      <c r="U947" s="5" t="s">
        <v>19</v>
      </c>
      <c r="V947" s="5" t="s">
        <v>19</v>
      </c>
      <c r="W947" s="5" t="s">
        <v>152</v>
      </c>
      <c r="X947"/>
    </row>
    <row r="948" spans="1:24">
      <c r="A948" t="s">
        <v>225</v>
      </c>
      <c r="B948" t="s">
        <v>19</v>
      </c>
      <c r="C948" t="s">
        <v>31</v>
      </c>
      <c r="D948" t="s">
        <v>235</v>
      </c>
      <c r="E948" t="s">
        <v>19</v>
      </c>
      <c r="F948" t="s">
        <v>19</v>
      </c>
      <c r="G948" t="s">
        <v>19</v>
      </c>
      <c r="H948" t="s">
        <v>19</v>
      </c>
      <c r="I948" t="s">
        <v>19</v>
      </c>
      <c r="J948" t="s">
        <v>74</v>
      </c>
      <c r="K948" s="21" t="s">
        <v>607</v>
      </c>
      <c r="L948" s="5" t="s">
        <v>19</v>
      </c>
      <c r="M948" s="5" t="s">
        <v>19</v>
      </c>
      <c r="N948" s="5" t="s">
        <v>19</v>
      </c>
      <c r="O948" s="5" t="str">
        <f>HYPERLINK("http://www.lghausys.co.kr/popup/rn/download/downloadPopup.jsp?from=plwindow&amp;uu=/upload/window/REPORT/LGH-WA19-211.pdf","2등급")</f>
        <v>2등급</v>
      </c>
      <c r="P948" s="5" t="s">
        <v>19</v>
      </c>
      <c r="Q948" s="5" t="s">
        <v>19</v>
      </c>
      <c r="R948" s="5" t="s">
        <v>19</v>
      </c>
      <c r="S948" s="5" t="s">
        <v>19</v>
      </c>
      <c r="T948" s="5" t="s">
        <v>19</v>
      </c>
      <c r="U948" s="5" t="s">
        <v>19</v>
      </c>
      <c r="V948" s="5" t="s">
        <v>19</v>
      </c>
      <c r="W948" s="5" t="s">
        <v>152</v>
      </c>
      <c r="X948"/>
    </row>
    <row r="949" spans="1:24">
      <c r="A949" t="s">
        <v>144</v>
      </c>
      <c r="B949" t="s">
        <v>19</v>
      </c>
      <c r="C949" t="s">
        <v>31</v>
      </c>
      <c r="D949" t="s">
        <v>21</v>
      </c>
      <c r="E949" t="s">
        <v>19</v>
      </c>
      <c r="F949" t="s">
        <v>19</v>
      </c>
      <c r="G949" t="s">
        <v>19</v>
      </c>
      <c r="H949" t="s">
        <v>21</v>
      </c>
      <c r="I949" t="s">
        <v>19</v>
      </c>
      <c r="J949" t="s">
        <v>99</v>
      </c>
      <c r="K949" s="21" t="s">
        <v>607</v>
      </c>
      <c r="L949" s="5" t="s">
        <v>19</v>
      </c>
      <c r="M949" s="5" t="s">
        <v>19</v>
      </c>
      <c r="N949" s="5" t="s">
        <v>19</v>
      </c>
      <c r="O949" s="5" t="str">
        <f>HYPERLINK("http://www.lghausys.co.kr/popup/rn/download/downloadPopup.jsp?from=plwindow&amp;uu=/upload/window/REPORT/LGH-WA19-217.pdf","1등급")</f>
        <v>1등급</v>
      </c>
      <c r="P949" s="5" t="str">
        <f>HYPERLINK("http://www.lghausys.co.kr/popup/rn/download/downloadPopup.jsp?from=plwindow&amp;uu=/upload/window/REPORT/LGH-WA19-217.pdf","50등급")</f>
        <v>50등급</v>
      </c>
      <c r="Q949" s="5" t="str">
        <f>HYPERLINK("http://www.lghausys.co.kr/popup/rn/download/downloadPopup.jsp?from=plwindow&amp;uu=/upload/window/REPORT/LGH-WA19-217.pdf","300등급")</f>
        <v>300등급</v>
      </c>
      <c r="R949" s="5" t="s">
        <v>19</v>
      </c>
      <c r="S949" s="5" t="s">
        <v>19</v>
      </c>
      <c r="T949" s="5" t="s">
        <v>19</v>
      </c>
      <c r="U949" s="5" t="s">
        <v>19</v>
      </c>
      <c r="V949" s="5" t="s">
        <v>19</v>
      </c>
      <c r="W949" s="5" t="s">
        <v>152</v>
      </c>
      <c r="X949"/>
    </row>
    <row r="950" spans="1:24">
      <c r="A950" t="s">
        <v>95</v>
      </c>
      <c r="B950" t="s">
        <v>19</v>
      </c>
      <c r="C950" t="s">
        <v>31</v>
      </c>
      <c r="D950" t="s">
        <v>41</v>
      </c>
      <c r="E950" t="s">
        <v>19</v>
      </c>
      <c r="F950" t="s">
        <v>19</v>
      </c>
      <c r="G950" t="s">
        <v>19</v>
      </c>
      <c r="H950" t="s">
        <v>19</v>
      </c>
      <c r="I950" t="s">
        <v>19</v>
      </c>
      <c r="J950" t="s">
        <v>97</v>
      </c>
      <c r="K950" s="21" t="s">
        <v>607</v>
      </c>
      <c r="L950" s="5" t="s">
        <v>19</v>
      </c>
      <c r="M950" s="5" t="s">
        <v>19</v>
      </c>
      <c r="N950" s="5" t="s">
        <v>19</v>
      </c>
      <c r="O950" s="5" t="str">
        <f>HYPERLINK("http://www.lghausys.co.kr/popup/rn/download/downloadPopup.jsp?from=plwindow&amp;uu=/upload/window/REPORT/LGH-WA19-218.pdf","1등급")</f>
        <v>1등급</v>
      </c>
      <c r="P950" s="5" t="str">
        <f>HYPERLINK("http://www.lghausys.co.kr/popup/rn/download/downloadPopup.jsp?from=plwindow&amp;uu=/upload/window/REPORT/LGH-WA19-218.pdf","35등급")</f>
        <v>35등급</v>
      </c>
      <c r="Q950" s="5" t="str">
        <f>HYPERLINK("http://www.lghausys.co.kr/popup/rn/download/downloadPopup.jsp?from=plwindow&amp;uu=/upload/window/REPORT/LGH-WA19-218.pdf","240등급")</f>
        <v>240등급</v>
      </c>
      <c r="R950" s="5" t="s">
        <v>19</v>
      </c>
      <c r="S950" s="5" t="s">
        <v>19</v>
      </c>
      <c r="T950" s="5" t="s">
        <v>19</v>
      </c>
      <c r="U950" s="5" t="s">
        <v>19</v>
      </c>
      <c r="V950" s="5" t="s">
        <v>19</v>
      </c>
      <c r="W950" s="5" t="s">
        <v>152</v>
      </c>
      <c r="X950"/>
    </row>
    <row r="951" spans="1:24">
      <c r="A951" t="s">
        <v>441</v>
      </c>
      <c r="B951" t="s">
        <v>19</v>
      </c>
      <c r="C951" t="s">
        <v>34</v>
      </c>
      <c r="D951" t="s">
        <v>243</v>
      </c>
      <c r="E951" t="s">
        <v>19</v>
      </c>
      <c r="F951" t="s">
        <v>19</v>
      </c>
      <c r="G951" t="s">
        <v>19</v>
      </c>
      <c r="H951" t="s">
        <v>19</v>
      </c>
      <c r="I951" t="s">
        <v>19</v>
      </c>
      <c r="J951" t="s">
        <v>184</v>
      </c>
      <c r="K951" s="21" t="s">
        <v>607</v>
      </c>
      <c r="L951" s="5" t="s">
        <v>19</v>
      </c>
      <c r="M951" s="5" t="s">
        <v>19</v>
      </c>
      <c r="N951" s="5" t="str">
        <f>HYPERLINK("http://www.lghausys.co.kr/popup/rn/download/downloadPopup.jsp?from=plwindow&amp;uu=/upload/window/REPORT/LGH-TA19-174.pdf","0.814")</f>
        <v>0.814</v>
      </c>
      <c r="O951" s="5" t="s">
        <v>19</v>
      </c>
      <c r="P951" s="5" t="s">
        <v>19</v>
      </c>
      <c r="Q951" s="5" t="s">
        <v>19</v>
      </c>
      <c r="R951" s="5" t="s">
        <v>19</v>
      </c>
      <c r="S951" s="5" t="s">
        <v>19</v>
      </c>
      <c r="T951" s="5" t="s">
        <v>19</v>
      </c>
      <c r="U951" s="5" t="s">
        <v>19</v>
      </c>
      <c r="V951" s="5" t="s">
        <v>19</v>
      </c>
      <c r="W951" s="5" t="s">
        <v>75</v>
      </c>
      <c r="X951"/>
    </row>
    <row r="952" spans="1:24">
      <c r="A952" t="s">
        <v>244</v>
      </c>
      <c r="B952" t="s">
        <v>19</v>
      </c>
      <c r="C952" t="s">
        <v>31</v>
      </c>
      <c r="D952" t="s">
        <v>68</v>
      </c>
      <c r="E952" t="s">
        <v>19</v>
      </c>
      <c r="F952" t="s">
        <v>19</v>
      </c>
      <c r="G952" t="s">
        <v>19</v>
      </c>
      <c r="H952" t="s">
        <v>19</v>
      </c>
      <c r="I952" t="s">
        <v>19</v>
      </c>
      <c r="J952" t="s">
        <v>97</v>
      </c>
      <c r="K952" s="21" t="s">
        <v>607</v>
      </c>
      <c r="L952" s="5" t="s">
        <v>19</v>
      </c>
      <c r="M952" s="5" t="s">
        <v>19</v>
      </c>
      <c r="N952" s="5" t="s">
        <v>19</v>
      </c>
      <c r="O952" s="5" t="str">
        <f>HYPERLINK("http://www.lghausys.co.kr/popup/rn/download/downloadPopup.jsp?from=plwindow&amp;uu=/upload/window/REPORT/LGH-WA19-235.pdf","2등급")</f>
        <v>2등급</v>
      </c>
      <c r="P952" s="5" t="str">
        <f>HYPERLINK("http://www.lghausys.co.kr/popup/rn/download/downloadPopup.jsp?from=plwindow&amp;uu=/upload/window/REPORT/LGH-WA19-235.pdf","15등급")</f>
        <v>15등급</v>
      </c>
      <c r="Q952" s="5" t="str">
        <f>HYPERLINK("http://www.lghausys.co.kr/popup/rn/download/downloadPopup.jsp?from=plwindow&amp;uu=/upload/window/REPORT/LGH-WA19-235.pdf","240등급")</f>
        <v>240등급</v>
      </c>
      <c r="R952" s="5" t="s">
        <v>19</v>
      </c>
      <c r="S952" s="5" t="s">
        <v>19</v>
      </c>
      <c r="T952" s="5" t="s">
        <v>19</v>
      </c>
      <c r="U952" s="5" t="s">
        <v>19</v>
      </c>
      <c r="V952" s="5" t="s">
        <v>19</v>
      </c>
      <c r="W952" s="5" t="s">
        <v>152</v>
      </c>
      <c r="X952"/>
    </row>
    <row r="953" spans="1:24">
      <c r="A953" t="s">
        <v>222</v>
      </c>
      <c r="B953" t="s">
        <v>19</v>
      </c>
      <c r="C953" t="s">
        <v>20</v>
      </c>
      <c r="D953" t="s">
        <v>235</v>
      </c>
      <c r="E953" t="s">
        <v>242</v>
      </c>
      <c r="F953" t="s">
        <v>19</v>
      </c>
      <c r="G953" t="s">
        <v>19</v>
      </c>
      <c r="H953" t="s">
        <v>235</v>
      </c>
      <c r="I953" t="s">
        <v>19</v>
      </c>
      <c r="J953" t="s">
        <v>74</v>
      </c>
      <c r="K953" s="21" t="str">
        <f>IF(X953&lt;=0.9,HYPERLINK("http://www.lxhausys.co.kr/popup/rn/download/downloadPopup.jsp?from=plwindow&amp;uu=/upload/window/REPORT/LGH-TW19-062.pdf","1등급"),IF(X953&lt;=1.2,HYPERLINK("http://www.lxhausys.co.kr/popup/rn/download/downloadPopup.jsp?from=plwindow&amp;uu=/upload/window/REPORT/LGH-TW19-062.pdf","2등급"),IF(X953&lt;=1.8,HYPERLINK("http://www.lxhausys.co.kr/popup/rn/download/downloadPopup.jsp?from=plwindow&amp;uu=/upload/window/REPORT/LGH-TW19-062.pdf","3등급"),IF(X953&lt;=2.3,HYPERLINK("http://www.lxhausys.co.kr/popup/rn/download/downloadPopup.jsp?from=plwindow&amp;uu=/upload/window/REPORT/LGH-TW19-062.pdf","4등급"),IF(X953&lt;=2.8,HYPERLINK("http://www.lxhausys.co.kr/popup/rn/download/downloadPopup.jsp?from=plwindow&amp;uu=/upload/window/REPORT/LGH-TW19-062.pdf","5등급"),HYPERLINK("http://www.lxhausys.co.kr/popup/rn/download/downloadPopup.jsp?from=plwindow&amp;uu=/upload/window/REPORT/LGH-TW19-062.pdf","등급외"))))))</f>
        <v>1등급</v>
      </c>
      <c r="L953" s="5">
        <v>0.80500000000000005</v>
      </c>
      <c r="M953" s="5" t="s">
        <v>22</v>
      </c>
      <c r="N953" s="5" t="s">
        <v>607</v>
      </c>
      <c r="O953" s="5" t="s">
        <v>19</v>
      </c>
      <c r="P953" s="5" t="s">
        <v>19</v>
      </c>
      <c r="Q953" s="5" t="s">
        <v>19</v>
      </c>
      <c r="R953" s="5" t="s">
        <v>19</v>
      </c>
      <c r="S953" s="5" t="s">
        <v>19</v>
      </c>
      <c r="T953" s="5" t="s">
        <v>19</v>
      </c>
      <c r="U953" s="5" t="s">
        <v>19</v>
      </c>
      <c r="V953" s="5" t="s">
        <v>19</v>
      </c>
      <c r="W953" s="5" t="s">
        <v>19</v>
      </c>
      <c r="X953" s="19">
        <f t="shared" ref="X953:X965" si="10">L953</f>
        <v>0.80500000000000005</v>
      </c>
    </row>
    <row r="954" spans="1:24">
      <c r="A954" t="s">
        <v>60</v>
      </c>
      <c r="B954" t="s">
        <v>19</v>
      </c>
      <c r="C954" t="s">
        <v>20</v>
      </c>
      <c r="D954" t="s">
        <v>235</v>
      </c>
      <c r="E954" t="s">
        <v>19</v>
      </c>
      <c r="F954" t="s">
        <v>19</v>
      </c>
      <c r="G954" t="s">
        <v>19</v>
      </c>
      <c r="H954" t="s">
        <v>235</v>
      </c>
      <c r="I954" t="s">
        <v>19</v>
      </c>
      <c r="J954" t="s">
        <v>74</v>
      </c>
      <c r="K954" s="21" t="str">
        <f>IF(X954&lt;=0.9,HYPERLINK("http://www.lxhausys.co.kr/popup/rn/download/downloadPopup.jsp?from=plwindow&amp;uu=/upload/window/REPORT/LGH-TW19-063.pdf","1등급"),IF(X954&lt;=1.2,HYPERLINK("http://www.lxhausys.co.kr/popup/rn/download/downloadPopup.jsp?from=plwindow&amp;uu=/upload/window/REPORT/LGH-TW19-063.pdf","2등급"),IF(X954&lt;=1.8,HYPERLINK("http://www.lxhausys.co.kr/popup/rn/download/downloadPopup.jsp?from=plwindow&amp;uu=/upload/window/REPORT/LGH-TW19-063.pdf","3등급"),IF(X954&lt;=2.3,HYPERLINK("http://www.lxhausys.co.kr/popup/rn/download/downloadPopup.jsp?from=plwindow&amp;uu=/upload/window/REPORT/LGH-TW19-063.pdf","4등급"),IF(X954&lt;=2.8,HYPERLINK("http://www.lxhausys.co.kr/popup/rn/download/downloadPopup.jsp?from=plwindow&amp;uu=/upload/window/REPORT/LGH-TW19-063.pdf","5등급"),HYPERLINK("http://www.lxhausys.co.kr/popup/rn/download/downloadPopup.jsp?from=plwindow&amp;uu=/upload/window/REPORT/LGH-TW19-063.pdf","등급외"))))))</f>
        <v>1등급</v>
      </c>
      <c r="L954" s="5">
        <v>0.76300000000000001</v>
      </c>
      <c r="M954" s="5" t="s">
        <v>22</v>
      </c>
      <c r="N954" s="5" t="s">
        <v>607</v>
      </c>
      <c r="O954" s="5" t="s">
        <v>19</v>
      </c>
      <c r="P954" s="5" t="s">
        <v>19</v>
      </c>
      <c r="Q954" s="5" t="s">
        <v>19</v>
      </c>
      <c r="R954" s="5" t="s">
        <v>19</v>
      </c>
      <c r="S954" s="5" t="s">
        <v>19</v>
      </c>
      <c r="T954" s="5" t="s">
        <v>19</v>
      </c>
      <c r="U954" s="5" t="s">
        <v>19</v>
      </c>
      <c r="V954" s="5" t="s">
        <v>19</v>
      </c>
      <c r="W954" s="5" t="s">
        <v>19</v>
      </c>
      <c r="X954" s="19">
        <f t="shared" si="10"/>
        <v>0.76300000000000001</v>
      </c>
    </row>
    <row r="955" spans="1:24">
      <c r="A955" t="s">
        <v>244</v>
      </c>
      <c r="B955" t="s">
        <v>19</v>
      </c>
      <c r="C955" t="s">
        <v>20</v>
      </c>
      <c r="D955" t="s">
        <v>235</v>
      </c>
      <c r="E955" t="s">
        <v>19</v>
      </c>
      <c r="F955" t="s">
        <v>19</v>
      </c>
      <c r="G955" t="s">
        <v>19</v>
      </c>
      <c r="H955" t="s">
        <v>19</v>
      </c>
      <c r="I955" t="s">
        <v>19</v>
      </c>
      <c r="J955" t="s">
        <v>74</v>
      </c>
      <c r="K955" s="21" t="str">
        <f>IF(X955&lt;=0.9,HYPERLINK("http://www.lxhausys.co.kr/popup/rn/download/downloadPopup.jsp?from=plwindow&amp;uu=/upload/window/REPORT/LGH-TW19-064.pdf","1등급"),IF(X955&lt;=1.2,HYPERLINK("http://www.lxhausys.co.kr/popup/rn/download/downloadPopup.jsp?from=plwindow&amp;uu=/upload/window/REPORT/LGH-TW19-064.pdf","2등급"),IF(X955&lt;=1.8,HYPERLINK("http://www.lxhausys.co.kr/popup/rn/download/downloadPopup.jsp?from=plwindow&amp;uu=/upload/window/REPORT/LGH-TW19-064.pdf","3등급"),IF(X955&lt;=2.3,HYPERLINK("http://www.lxhausys.co.kr/popup/rn/download/downloadPopup.jsp?from=plwindow&amp;uu=/upload/window/REPORT/LGH-TW19-064.pdf","4등급"),IF(X955&lt;=2.8,HYPERLINK("http://www.lxhausys.co.kr/popup/rn/download/downloadPopup.jsp?from=plwindow&amp;uu=/upload/window/REPORT/LGH-TW19-064.pdf","5등급"),HYPERLINK("http://www.lxhausys.co.kr/popup/rn/download/downloadPopup.jsp?from=plwindow&amp;uu=/upload/window/REPORT/LGH-TW19-064.pdf","등급외"))))))</f>
        <v>4등급</v>
      </c>
      <c r="L955" s="5">
        <v>1.873</v>
      </c>
      <c r="M955" s="5" t="s">
        <v>103</v>
      </c>
      <c r="N955" s="5" t="s">
        <v>607</v>
      </c>
      <c r="O955" s="5" t="s">
        <v>19</v>
      </c>
      <c r="P955" s="5" t="s">
        <v>19</v>
      </c>
      <c r="Q955" s="5" t="s">
        <v>19</v>
      </c>
      <c r="R955" s="5" t="s">
        <v>19</v>
      </c>
      <c r="S955" s="5" t="s">
        <v>19</v>
      </c>
      <c r="T955" s="5" t="s">
        <v>19</v>
      </c>
      <c r="U955" s="5" t="s">
        <v>19</v>
      </c>
      <c r="V955" s="5" t="s">
        <v>19</v>
      </c>
      <c r="W955" s="5" t="s">
        <v>19</v>
      </c>
      <c r="X955" s="19">
        <f t="shared" si="10"/>
        <v>1.873</v>
      </c>
    </row>
    <row r="956" spans="1:24">
      <c r="A956" t="s">
        <v>442</v>
      </c>
      <c r="B956" t="s">
        <v>19</v>
      </c>
      <c r="C956" t="s">
        <v>20</v>
      </c>
      <c r="D956" t="s">
        <v>245</v>
      </c>
      <c r="E956" t="s">
        <v>19</v>
      </c>
      <c r="F956" t="s">
        <v>19</v>
      </c>
      <c r="G956" t="s">
        <v>19</v>
      </c>
      <c r="H956" t="s">
        <v>19</v>
      </c>
      <c r="I956" t="s">
        <v>19</v>
      </c>
      <c r="J956" t="s">
        <v>97</v>
      </c>
      <c r="K956" s="21" t="str">
        <f>IF(X956&lt;=0.9,HYPERLINK("http://www.lxhausys.co.kr/popup/rn/download/downloadPopup.jsp?from=plwindow&amp;uu=/upload/window/REPORT/LGH-TW19-066.pdf","1등급"),IF(X956&lt;=1.2,HYPERLINK("http://www.lxhausys.co.kr/popup/rn/download/downloadPopup.jsp?from=plwindow&amp;uu=/upload/window/REPORT/LGH-TW19-066.pdf","2등급"),IF(X956&lt;=1.8,HYPERLINK("http://www.lxhausys.co.kr/popup/rn/download/downloadPopup.jsp?from=plwindow&amp;uu=/upload/window/REPORT/LGH-TW19-066.pdf","3등급"),IF(X956&lt;=2.3,HYPERLINK("http://www.lxhausys.co.kr/popup/rn/download/downloadPopup.jsp?from=plwindow&amp;uu=/upload/window/REPORT/LGH-TW19-066.pdf","4등급"),IF(X956&lt;=2.8,HYPERLINK("http://www.lxhausys.co.kr/popup/rn/download/downloadPopup.jsp?from=plwindow&amp;uu=/upload/window/REPORT/LGH-TW19-066.pdf","5등급"),HYPERLINK("http://www.lxhausys.co.kr/popup/rn/download/downloadPopup.jsp?from=plwindow&amp;uu=/upload/window/REPORT/LGH-TW19-066.pdf","등급외"))))))</f>
        <v>1등급</v>
      </c>
      <c r="L956" s="5">
        <v>0.81</v>
      </c>
      <c r="M956" s="5" t="s">
        <v>22</v>
      </c>
      <c r="N956" s="5" t="s">
        <v>607</v>
      </c>
      <c r="O956" s="5" t="s">
        <v>19</v>
      </c>
      <c r="P956" s="5" t="s">
        <v>19</v>
      </c>
      <c r="Q956" s="5" t="s">
        <v>19</v>
      </c>
      <c r="R956" s="5" t="s">
        <v>19</v>
      </c>
      <c r="S956" s="5" t="s">
        <v>19</v>
      </c>
      <c r="T956" s="5" t="s">
        <v>19</v>
      </c>
      <c r="U956" s="5" t="s">
        <v>19</v>
      </c>
      <c r="V956" s="5" t="s">
        <v>19</v>
      </c>
      <c r="W956" s="5" t="s">
        <v>19</v>
      </c>
      <c r="X956" s="19">
        <f t="shared" si="10"/>
        <v>0.81</v>
      </c>
    </row>
    <row r="957" spans="1:24">
      <c r="A957" t="s">
        <v>144</v>
      </c>
      <c r="B957" t="s">
        <v>19</v>
      </c>
      <c r="C957" t="s">
        <v>20</v>
      </c>
      <c r="D957" t="s">
        <v>235</v>
      </c>
      <c r="E957" t="s">
        <v>19</v>
      </c>
      <c r="F957" t="s">
        <v>19</v>
      </c>
      <c r="G957" t="s">
        <v>19</v>
      </c>
      <c r="H957" t="s">
        <v>235</v>
      </c>
      <c r="I957" t="s">
        <v>19</v>
      </c>
      <c r="J957" t="s">
        <v>74</v>
      </c>
      <c r="K957" s="21" t="str">
        <f>IF(X957&lt;=0.9,HYPERLINK("http://www.lxhausys.co.kr/popup/rn/download/downloadPopup.jsp?from=plwindow&amp;uu=/upload/window/REPORT/LGH-TW19-067.pdf","1등급"),IF(X957&lt;=1.2,HYPERLINK("http://www.lxhausys.co.kr/popup/rn/download/downloadPopup.jsp?from=plwindow&amp;uu=/upload/window/REPORT/LGH-TW19-067.pdf","2등급"),IF(X957&lt;=1.8,HYPERLINK("http://www.lxhausys.co.kr/popup/rn/download/downloadPopup.jsp?from=plwindow&amp;uu=/upload/window/REPORT/LGH-TW19-067.pdf","3등급"),IF(X957&lt;=2.3,HYPERLINK("http://www.lxhausys.co.kr/popup/rn/download/downloadPopup.jsp?from=plwindow&amp;uu=/upload/window/REPORT/LGH-TW19-067.pdf","4등급"),IF(X957&lt;=2.8,HYPERLINK("http://www.lxhausys.co.kr/popup/rn/download/downloadPopup.jsp?from=plwindow&amp;uu=/upload/window/REPORT/LGH-TW19-067.pdf","5등급"),HYPERLINK("http://www.lxhausys.co.kr/popup/rn/download/downloadPopup.jsp?from=plwindow&amp;uu=/upload/window/REPORT/LGH-TW19-067.pdf","등급외"))))))</f>
        <v>1등급</v>
      </c>
      <c r="L957" s="5">
        <v>0.755</v>
      </c>
      <c r="M957" s="5" t="s">
        <v>22</v>
      </c>
      <c r="N957" s="5" t="s">
        <v>607</v>
      </c>
      <c r="O957" s="5" t="s">
        <v>19</v>
      </c>
      <c r="P957" s="5" t="s">
        <v>19</v>
      </c>
      <c r="Q957" s="5" t="s">
        <v>19</v>
      </c>
      <c r="R957" s="5" t="s">
        <v>19</v>
      </c>
      <c r="S957" s="5" t="s">
        <v>19</v>
      </c>
      <c r="T957" s="5" t="s">
        <v>19</v>
      </c>
      <c r="U957" s="5" t="s">
        <v>19</v>
      </c>
      <c r="V957" s="5" t="s">
        <v>19</v>
      </c>
      <c r="W957" s="5" t="s">
        <v>19</v>
      </c>
      <c r="X957" s="19">
        <f t="shared" si="10"/>
        <v>0.755</v>
      </c>
    </row>
    <row r="958" spans="1:24">
      <c r="A958" t="s">
        <v>100</v>
      </c>
      <c r="B958" t="s">
        <v>19</v>
      </c>
      <c r="C958" t="s">
        <v>20</v>
      </c>
      <c r="D958" t="s">
        <v>235</v>
      </c>
      <c r="E958" t="s">
        <v>19</v>
      </c>
      <c r="F958" t="s">
        <v>19</v>
      </c>
      <c r="G958" t="s">
        <v>19</v>
      </c>
      <c r="H958" t="s">
        <v>235</v>
      </c>
      <c r="I958" t="s">
        <v>19</v>
      </c>
      <c r="J958" t="s">
        <v>74</v>
      </c>
      <c r="K958" s="21" t="str">
        <f>IF(X958&lt;=0.9,HYPERLINK("http://www.lxhausys.co.kr/popup/rn/download/downloadPopup.jsp?from=plwindow&amp;uu=/upload/window/REPORT/LGH-TW19-068.pdf","1등급"),IF(X958&lt;=1.2,HYPERLINK("http://www.lxhausys.co.kr/popup/rn/download/downloadPopup.jsp?from=plwindow&amp;uu=/upload/window/REPORT/LGH-TW19-068.pdf","2등급"),IF(X958&lt;=1.8,HYPERLINK("http://www.lxhausys.co.kr/popup/rn/download/downloadPopup.jsp?from=plwindow&amp;uu=/upload/window/REPORT/LGH-TW19-068.pdf","3등급"),IF(X958&lt;=2.3,HYPERLINK("http://www.lxhausys.co.kr/popup/rn/download/downloadPopup.jsp?from=plwindow&amp;uu=/upload/window/REPORT/LGH-TW19-068.pdf","4등급"),IF(X958&lt;=2.8,HYPERLINK("http://www.lxhausys.co.kr/popup/rn/download/downloadPopup.jsp?from=plwindow&amp;uu=/upload/window/REPORT/LGH-TW19-068.pdf","5등급"),HYPERLINK("http://www.lxhausys.co.kr/popup/rn/download/downloadPopup.jsp?from=plwindow&amp;uu=/upload/window/REPORT/LGH-TW19-068.pdf","등급외"))))))</f>
        <v>1등급</v>
      </c>
      <c r="L958" s="5">
        <v>0.74099999999999999</v>
      </c>
      <c r="M958" s="5" t="s">
        <v>22</v>
      </c>
      <c r="N958" s="5" t="s">
        <v>607</v>
      </c>
      <c r="O958" s="5" t="s">
        <v>19</v>
      </c>
      <c r="P958" s="5" t="s">
        <v>19</v>
      </c>
      <c r="Q958" s="5" t="s">
        <v>19</v>
      </c>
      <c r="R958" s="5" t="s">
        <v>19</v>
      </c>
      <c r="S958" s="5" t="s">
        <v>19</v>
      </c>
      <c r="T958" s="5" t="s">
        <v>19</v>
      </c>
      <c r="U958" s="5" t="s">
        <v>19</v>
      </c>
      <c r="V958" s="5" t="s">
        <v>19</v>
      </c>
      <c r="W958" s="5" t="s">
        <v>19</v>
      </c>
      <c r="X958" s="19">
        <f t="shared" si="10"/>
        <v>0.74099999999999999</v>
      </c>
    </row>
    <row r="959" spans="1:24">
      <c r="A959" t="s">
        <v>62</v>
      </c>
      <c r="B959" t="s">
        <v>19</v>
      </c>
      <c r="C959" t="s">
        <v>20</v>
      </c>
      <c r="D959" t="s">
        <v>235</v>
      </c>
      <c r="E959" t="s">
        <v>19</v>
      </c>
      <c r="F959" t="s">
        <v>19</v>
      </c>
      <c r="G959" t="s">
        <v>19</v>
      </c>
      <c r="H959" t="s">
        <v>235</v>
      </c>
      <c r="I959" t="s">
        <v>19</v>
      </c>
      <c r="J959" t="s">
        <v>74</v>
      </c>
      <c r="K959" s="21" t="str">
        <f>IF(X959&lt;=0.9,HYPERLINK("http://www.lxhausys.co.kr/popup/rn/download/downloadPopup.jsp?from=plwindow&amp;uu=/upload/window/REPORT/LGH-TW19-069.pdf","1등급"),IF(X959&lt;=1.2,HYPERLINK("http://www.lxhausys.co.kr/popup/rn/download/downloadPopup.jsp?from=plwindow&amp;uu=/upload/window/REPORT/LGH-TW19-069.pdf","2등급"),IF(X959&lt;=1.8,HYPERLINK("http://www.lxhausys.co.kr/popup/rn/download/downloadPopup.jsp?from=plwindow&amp;uu=/upload/window/REPORT/LGH-TW19-069.pdf","3등급"),IF(X959&lt;=2.3,HYPERLINK("http://www.lxhausys.co.kr/popup/rn/download/downloadPopup.jsp?from=plwindow&amp;uu=/upload/window/REPORT/LGH-TW19-069.pdf","4등급"),IF(X959&lt;=2.8,HYPERLINK("http://www.lxhausys.co.kr/popup/rn/download/downloadPopup.jsp?from=plwindow&amp;uu=/upload/window/REPORT/LGH-TW19-069.pdf","5등급"),HYPERLINK("http://www.lxhausys.co.kr/popup/rn/download/downloadPopup.jsp?from=plwindow&amp;uu=/upload/window/REPORT/LGH-TW19-069.pdf","등급외"))))))</f>
        <v>1등급</v>
      </c>
      <c r="L959" s="5">
        <v>0.80500000000000005</v>
      </c>
      <c r="M959" s="5" t="s">
        <v>22</v>
      </c>
      <c r="N959" s="5" t="s">
        <v>607</v>
      </c>
      <c r="O959" s="5" t="s">
        <v>19</v>
      </c>
      <c r="P959" s="5" t="s">
        <v>19</v>
      </c>
      <c r="Q959" s="5" t="s">
        <v>19</v>
      </c>
      <c r="R959" s="5" t="s">
        <v>19</v>
      </c>
      <c r="S959" s="5" t="s">
        <v>19</v>
      </c>
      <c r="T959" s="5" t="s">
        <v>19</v>
      </c>
      <c r="U959" s="5" t="s">
        <v>19</v>
      </c>
      <c r="V959" s="5" t="s">
        <v>19</v>
      </c>
      <c r="W959" s="5" t="s">
        <v>19</v>
      </c>
      <c r="X959" s="19">
        <f t="shared" si="10"/>
        <v>0.80500000000000005</v>
      </c>
    </row>
    <row r="960" spans="1:24">
      <c r="A960" t="s">
        <v>222</v>
      </c>
      <c r="B960" t="s">
        <v>19</v>
      </c>
      <c r="C960" t="s">
        <v>20</v>
      </c>
      <c r="D960" t="s">
        <v>241</v>
      </c>
      <c r="E960" t="s">
        <v>242</v>
      </c>
      <c r="F960" t="s">
        <v>19</v>
      </c>
      <c r="G960" t="s">
        <v>19</v>
      </c>
      <c r="H960" t="s">
        <v>241</v>
      </c>
      <c r="I960" t="s">
        <v>19</v>
      </c>
      <c r="J960" t="s">
        <v>74</v>
      </c>
      <c r="K960" s="21" t="str">
        <f>IF(X960&lt;=0.9,HYPERLINK("http://www.lxhausys.co.kr/popup/rn/download/downloadPopup.jsp?from=plwindow&amp;uu=/upload/window/REPORT/LGH-TW19-070.pdf","1등급"),IF(X960&lt;=1.2,HYPERLINK("http://www.lxhausys.co.kr/popup/rn/download/downloadPopup.jsp?from=plwindow&amp;uu=/upload/window/REPORT/LGH-TW19-070.pdf","2등급"),IF(X960&lt;=1.8,HYPERLINK("http://www.lxhausys.co.kr/popup/rn/download/downloadPopup.jsp?from=plwindow&amp;uu=/upload/window/REPORT/LGH-TW19-070.pdf","3등급"),IF(X960&lt;=2.3,HYPERLINK("http://www.lxhausys.co.kr/popup/rn/download/downloadPopup.jsp?from=plwindow&amp;uu=/upload/window/REPORT/LGH-TW19-070.pdf","4등급"),IF(X960&lt;=2.8,HYPERLINK("http://www.lxhausys.co.kr/popup/rn/download/downloadPopup.jsp?from=plwindow&amp;uu=/upload/window/REPORT/LGH-TW19-070.pdf","5등급"),HYPERLINK("http://www.lxhausys.co.kr/popup/rn/download/downloadPopup.jsp?from=plwindow&amp;uu=/upload/window/REPORT/LGH-TW19-070.pdf","등급외"))))))</f>
        <v>1등급</v>
      </c>
      <c r="L960" s="5">
        <v>0.86599999999999999</v>
      </c>
      <c r="M960" s="5" t="s">
        <v>22</v>
      </c>
      <c r="N960" s="5" t="s">
        <v>607</v>
      </c>
      <c r="O960" s="5" t="s">
        <v>19</v>
      </c>
      <c r="P960" s="5" t="s">
        <v>19</v>
      </c>
      <c r="Q960" s="5" t="s">
        <v>19</v>
      </c>
      <c r="R960" s="5" t="s">
        <v>19</v>
      </c>
      <c r="S960" s="5" t="s">
        <v>19</v>
      </c>
      <c r="T960" s="5" t="s">
        <v>19</v>
      </c>
      <c r="U960" s="5" t="s">
        <v>19</v>
      </c>
      <c r="V960" s="5" t="s">
        <v>19</v>
      </c>
      <c r="W960" s="5" t="s">
        <v>19</v>
      </c>
      <c r="X960" s="19">
        <f t="shared" si="10"/>
        <v>0.86599999999999999</v>
      </c>
    </row>
    <row r="961" spans="1:24">
      <c r="A961" t="s">
        <v>52</v>
      </c>
      <c r="B961" t="s">
        <v>19</v>
      </c>
      <c r="C961" t="s">
        <v>20</v>
      </c>
      <c r="D961" t="s">
        <v>235</v>
      </c>
      <c r="E961" t="s">
        <v>19</v>
      </c>
      <c r="F961" t="s">
        <v>19</v>
      </c>
      <c r="G961" t="s">
        <v>19</v>
      </c>
      <c r="H961" t="s">
        <v>235</v>
      </c>
      <c r="I961" t="s">
        <v>19</v>
      </c>
      <c r="J961" t="s">
        <v>74</v>
      </c>
      <c r="K961" s="21" t="str">
        <f>IF(X961&lt;=0.9,HYPERLINK("http://www.lxhausys.co.kr/popup/rn/download/downloadPopup.jsp?from=plwindow&amp;uu=/upload/window/REPORT/LGH-TW19-071.pdf","1등급"),IF(X961&lt;=1.2,HYPERLINK("http://www.lxhausys.co.kr/popup/rn/download/downloadPopup.jsp?from=plwindow&amp;uu=/upload/window/REPORT/LGH-TW19-071.pdf","2등급"),IF(X961&lt;=1.8,HYPERLINK("http://www.lxhausys.co.kr/popup/rn/download/downloadPopup.jsp?from=plwindow&amp;uu=/upload/window/REPORT/LGH-TW19-071.pdf","3등급"),IF(X961&lt;=2.3,HYPERLINK("http://www.lxhausys.co.kr/popup/rn/download/downloadPopup.jsp?from=plwindow&amp;uu=/upload/window/REPORT/LGH-TW19-071.pdf","4등급"),IF(X961&lt;=2.8,HYPERLINK("http://www.lxhausys.co.kr/popup/rn/download/downloadPopup.jsp?from=plwindow&amp;uu=/upload/window/REPORT/LGH-TW19-071.pdf","5등급"),HYPERLINK("http://www.lxhausys.co.kr/popup/rn/download/downloadPopup.jsp?from=plwindow&amp;uu=/upload/window/REPORT/LGH-TW19-071.pdf","등급외"))))))</f>
        <v>1등급</v>
      </c>
      <c r="L961" s="5">
        <v>0.78299999999999992</v>
      </c>
      <c r="M961" s="5" t="s">
        <v>22</v>
      </c>
      <c r="N961" s="5" t="s">
        <v>607</v>
      </c>
      <c r="O961" s="5" t="s">
        <v>19</v>
      </c>
      <c r="P961" s="5" t="s">
        <v>19</v>
      </c>
      <c r="Q961" s="5" t="s">
        <v>19</v>
      </c>
      <c r="R961" s="5" t="s">
        <v>19</v>
      </c>
      <c r="S961" s="5" t="s">
        <v>19</v>
      </c>
      <c r="T961" s="5" t="s">
        <v>19</v>
      </c>
      <c r="U961" s="5" t="s">
        <v>19</v>
      </c>
      <c r="V961" s="5" t="s">
        <v>19</v>
      </c>
      <c r="W961" s="5" t="s">
        <v>19</v>
      </c>
      <c r="X961" s="19">
        <f t="shared" si="10"/>
        <v>0.78299999999999992</v>
      </c>
    </row>
    <row r="962" spans="1:24">
      <c r="A962" t="s">
        <v>175</v>
      </c>
      <c r="B962" t="s">
        <v>19</v>
      </c>
      <c r="C962" t="s">
        <v>20</v>
      </c>
      <c r="D962" t="s">
        <v>235</v>
      </c>
      <c r="E962" t="s">
        <v>19</v>
      </c>
      <c r="F962" t="s">
        <v>19</v>
      </c>
      <c r="G962" t="s">
        <v>19</v>
      </c>
      <c r="H962" t="s">
        <v>235</v>
      </c>
      <c r="I962" t="s">
        <v>19</v>
      </c>
      <c r="J962" t="s">
        <v>74</v>
      </c>
      <c r="K962" s="21" t="str">
        <f>IF(X962&lt;=0.9,HYPERLINK("http://www.lxhausys.co.kr/popup/rn/download/downloadPopup.jsp?from=plwindow&amp;uu=/upload/window/REPORT/LGH-TW19-072.pdf","1등급"),IF(X962&lt;=1.2,HYPERLINK("http://www.lxhausys.co.kr/popup/rn/download/downloadPopup.jsp?from=plwindow&amp;uu=/upload/window/REPORT/LGH-TW19-072.pdf","2등급"),IF(X962&lt;=1.8,HYPERLINK("http://www.lxhausys.co.kr/popup/rn/download/downloadPopup.jsp?from=plwindow&amp;uu=/upload/window/REPORT/LGH-TW19-072.pdf","3등급"),IF(X962&lt;=2.3,HYPERLINK("http://www.lxhausys.co.kr/popup/rn/download/downloadPopup.jsp?from=plwindow&amp;uu=/upload/window/REPORT/LGH-TW19-072.pdf","4등급"),IF(X962&lt;=2.8,HYPERLINK("http://www.lxhausys.co.kr/popup/rn/download/downloadPopup.jsp?from=plwindow&amp;uu=/upload/window/REPORT/LGH-TW19-072.pdf","5등급"),HYPERLINK("http://www.lxhausys.co.kr/popup/rn/download/downloadPopup.jsp?from=plwindow&amp;uu=/upload/window/REPORT/LGH-TW19-072.pdf","등급외"))))))</f>
        <v>1등급</v>
      </c>
      <c r="L962" s="5">
        <v>0.77900000000000003</v>
      </c>
      <c r="M962" s="5" t="s">
        <v>22</v>
      </c>
      <c r="N962" s="5" t="s">
        <v>607</v>
      </c>
      <c r="O962" s="5" t="s">
        <v>19</v>
      </c>
      <c r="P962" s="5" t="s">
        <v>19</v>
      </c>
      <c r="Q962" s="5" t="s">
        <v>19</v>
      </c>
      <c r="R962" s="5" t="s">
        <v>19</v>
      </c>
      <c r="S962" s="5" t="s">
        <v>19</v>
      </c>
      <c r="T962" s="5" t="s">
        <v>19</v>
      </c>
      <c r="U962" s="5" t="s">
        <v>19</v>
      </c>
      <c r="V962" s="5" t="s">
        <v>19</v>
      </c>
      <c r="W962" s="5" t="s">
        <v>19</v>
      </c>
      <c r="X962" s="19">
        <f t="shared" si="10"/>
        <v>0.77900000000000003</v>
      </c>
    </row>
    <row r="963" spans="1:24">
      <c r="A963" t="s">
        <v>246</v>
      </c>
      <c r="B963" t="s">
        <v>19</v>
      </c>
      <c r="C963" t="s">
        <v>20</v>
      </c>
      <c r="D963" t="s">
        <v>241</v>
      </c>
      <c r="E963" t="s">
        <v>19</v>
      </c>
      <c r="F963" t="s">
        <v>19</v>
      </c>
      <c r="G963" t="s">
        <v>19</v>
      </c>
      <c r="H963" t="s">
        <v>241</v>
      </c>
      <c r="I963" t="s">
        <v>19</v>
      </c>
      <c r="J963" t="s">
        <v>74</v>
      </c>
      <c r="K963" s="21" t="str">
        <f>IF(X963&lt;=0.9,HYPERLINK("http://www.lxhausys.co.kr/popup/rn/download/downloadPopup.jsp?from=plwindow&amp;uu=/upload/window/REPORT/LGH-TW19-073.pdf","1등급"),IF(X963&lt;=1.2,HYPERLINK("http://www.lxhausys.co.kr/popup/rn/download/downloadPopup.jsp?from=plwindow&amp;uu=/upload/window/REPORT/LGH-TW19-073.pdf","2등급"),IF(X963&lt;=1.8,HYPERLINK("http://www.lxhausys.co.kr/popup/rn/download/downloadPopup.jsp?from=plwindow&amp;uu=/upload/window/REPORT/LGH-TW19-073.pdf","3등급"),IF(X963&lt;=2.3,HYPERLINK("http://www.lxhausys.co.kr/popup/rn/download/downloadPopup.jsp?from=plwindow&amp;uu=/upload/window/REPORT/LGH-TW19-073.pdf","4등급"),IF(X963&lt;=2.8,HYPERLINK("http://www.lxhausys.co.kr/popup/rn/download/downloadPopup.jsp?from=plwindow&amp;uu=/upload/window/REPORT/LGH-TW19-073.pdf","5등급"),HYPERLINK("http://www.lxhausys.co.kr/popup/rn/download/downloadPopup.jsp?from=plwindow&amp;uu=/upload/window/REPORT/LGH-TW19-073.pdf","등급외"))))))</f>
        <v>1등급</v>
      </c>
      <c r="L963" s="5">
        <v>0.79099999999999993</v>
      </c>
      <c r="M963" s="5" t="s">
        <v>22</v>
      </c>
      <c r="N963" s="5" t="s">
        <v>607</v>
      </c>
      <c r="O963" s="5" t="s">
        <v>19</v>
      </c>
      <c r="P963" s="5" t="s">
        <v>19</v>
      </c>
      <c r="Q963" s="5" t="s">
        <v>19</v>
      </c>
      <c r="R963" s="5" t="s">
        <v>19</v>
      </c>
      <c r="S963" s="5" t="s">
        <v>19</v>
      </c>
      <c r="T963" s="5" t="s">
        <v>19</v>
      </c>
      <c r="U963" s="5" t="s">
        <v>19</v>
      </c>
      <c r="V963" s="5" t="s">
        <v>19</v>
      </c>
      <c r="W963" s="5" t="s">
        <v>19</v>
      </c>
      <c r="X963" s="19">
        <f t="shared" si="10"/>
        <v>0.79099999999999993</v>
      </c>
    </row>
    <row r="964" spans="1:24">
      <c r="A964" t="s">
        <v>247</v>
      </c>
      <c r="B964" t="s">
        <v>19</v>
      </c>
      <c r="C964" t="s">
        <v>20</v>
      </c>
      <c r="D964" t="s">
        <v>241</v>
      </c>
      <c r="E964" t="s">
        <v>19</v>
      </c>
      <c r="F964" t="s">
        <v>19</v>
      </c>
      <c r="G964" t="s">
        <v>19</v>
      </c>
      <c r="H964" t="s">
        <v>241</v>
      </c>
      <c r="I964" t="s">
        <v>19</v>
      </c>
      <c r="J964" t="s">
        <v>74</v>
      </c>
      <c r="K964" s="21" t="str">
        <f>IF(X964&lt;=0.9,HYPERLINK("http://www.lxhausys.co.kr/popup/rn/download/downloadPopup.jsp?from=plwindow&amp;uu=/upload/window/REPORT/LGH-TW19-074.pdf","1등급"),IF(X964&lt;=1.2,HYPERLINK("http://www.lxhausys.co.kr/popup/rn/download/downloadPopup.jsp?from=plwindow&amp;uu=/upload/window/REPORT/LGH-TW19-074.pdf","2등급"),IF(X964&lt;=1.8,HYPERLINK("http://www.lxhausys.co.kr/popup/rn/download/downloadPopup.jsp?from=plwindow&amp;uu=/upload/window/REPORT/LGH-TW19-074.pdf","3등급"),IF(X964&lt;=2.3,HYPERLINK("http://www.lxhausys.co.kr/popup/rn/download/downloadPopup.jsp?from=plwindow&amp;uu=/upload/window/REPORT/LGH-TW19-074.pdf","4등급"),IF(X964&lt;=2.8,HYPERLINK("http://www.lxhausys.co.kr/popup/rn/download/downloadPopup.jsp?from=plwindow&amp;uu=/upload/window/REPORT/LGH-TW19-074.pdf","5등급"),HYPERLINK("http://www.lxhausys.co.kr/popup/rn/download/downloadPopup.jsp?from=plwindow&amp;uu=/upload/window/REPORT/LGH-TW19-074.pdf","등급외"))))))</f>
        <v>1등급</v>
      </c>
      <c r="L964" s="5">
        <v>0.76900000000000002</v>
      </c>
      <c r="M964" s="5" t="s">
        <v>22</v>
      </c>
      <c r="N964" s="5" t="s">
        <v>607</v>
      </c>
      <c r="O964" s="5" t="s">
        <v>19</v>
      </c>
      <c r="P964" s="5" t="s">
        <v>19</v>
      </c>
      <c r="Q964" s="5" t="s">
        <v>19</v>
      </c>
      <c r="R964" s="5" t="s">
        <v>19</v>
      </c>
      <c r="S964" s="5" t="s">
        <v>19</v>
      </c>
      <c r="T964" s="5" t="s">
        <v>19</v>
      </c>
      <c r="U964" s="5" t="s">
        <v>19</v>
      </c>
      <c r="V964" s="5" t="s">
        <v>19</v>
      </c>
      <c r="W964" s="5" t="s">
        <v>19</v>
      </c>
      <c r="X964" s="19">
        <f t="shared" si="10"/>
        <v>0.76900000000000002</v>
      </c>
    </row>
    <row r="965" spans="1:24">
      <c r="A965" t="s">
        <v>19</v>
      </c>
      <c r="B965" t="s">
        <v>197</v>
      </c>
      <c r="C965" t="s">
        <v>20</v>
      </c>
      <c r="D965" t="s">
        <v>245</v>
      </c>
      <c r="E965" t="s">
        <v>19</v>
      </c>
      <c r="F965" t="s">
        <v>19</v>
      </c>
      <c r="G965" t="s">
        <v>19</v>
      </c>
      <c r="H965" t="s">
        <v>19</v>
      </c>
      <c r="I965" t="s">
        <v>19</v>
      </c>
      <c r="J965" t="s">
        <v>97</v>
      </c>
      <c r="K965" s="21" t="str">
        <f>IF(X965&lt;=0.9,HYPERLINK("http://www.lxhausys.co.kr/popup/rn/download/downloadPopup.jsp?from=plwindow&amp;uu=/upload/window/REPORT/LGH-TW19-075.pdf","1등급"),IF(X965&lt;=1.2,HYPERLINK("http://www.lxhausys.co.kr/popup/rn/download/downloadPopup.jsp?from=plwindow&amp;uu=/upload/window/REPORT/LGH-TW19-075.pdf","2등급"),IF(X965&lt;=1.8,HYPERLINK("http://www.lxhausys.co.kr/popup/rn/download/downloadPopup.jsp?from=plwindow&amp;uu=/upload/window/REPORT/LGH-TW19-075.pdf","3등급"),IF(X965&lt;=2.3,HYPERLINK("http://www.lxhausys.co.kr/popup/rn/download/downloadPopup.jsp?from=plwindow&amp;uu=/upload/window/REPORT/LGH-TW19-075.pdf","4등급"),IF(X965&lt;=2.8,HYPERLINK("http://www.lxhausys.co.kr/popup/rn/download/downloadPopup.jsp?from=plwindow&amp;uu=/upload/window/REPORT/LGH-TW19-075.pdf","5등급"),HYPERLINK("http://www.lxhausys.co.kr/popup/rn/download/downloadPopup.jsp?from=plwindow&amp;uu=/upload/window/REPORT/LGH-TW19-075.pdf","등급외"))))))</f>
        <v>1등급</v>
      </c>
      <c r="L965" s="5">
        <v>0.81599999999999995</v>
      </c>
      <c r="M965" s="5" t="s">
        <v>22</v>
      </c>
      <c r="N965" s="5" t="s">
        <v>607</v>
      </c>
      <c r="O965" s="5" t="s">
        <v>19</v>
      </c>
      <c r="P965" s="5" t="s">
        <v>19</v>
      </c>
      <c r="Q965" s="5" t="s">
        <v>19</v>
      </c>
      <c r="R965" s="5" t="s">
        <v>19</v>
      </c>
      <c r="S965" s="5" t="s">
        <v>19</v>
      </c>
      <c r="T965" s="5" t="s">
        <v>19</v>
      </c>
      <c r="U965" s="5" t="s">
        <v>19</v>
      </c>
      <c r="V965" s="5" t="s">
        <v>19</v>
      </c>
      <c r="W965" s="5" t="s">
        <v>19</v>
      </c>
      <c r="X965" s="19">
        <f t="shared" si="10"/>
        <v>0.81599999999999995</v>
      </c>
    </row>
    <row r="966" spans="1:24">
      <c r="A966" t="s">
        <v>52</v>
      </c>
      <c r="B966" t="s">
        <v>19</v>
      </c>
      <c r="C966" t="s">
        <v>14</v>
      </c>
      <c r="D966" t="s">
        <v>28</v>
      </c>
      <c r="E966" t="s">
        <v>19</v>
      </c>
      <c r="F966" t="s">
        <v>19</v>
      </c>
      <c r="G966" t="s">
        <v>19</v>
      </c>
      <c r="H966" t="s">
        <v>19</v>
      </c>
      <c r="I966" t="s">
        <v>19</v>
      </c>
      <c r="J966" t="s">
        <v>145</v>
      </c>
      <c r="K966" s="21" t="s">
        <v>607</v>
      </c>
      <c r="L966" s="5" t="s">
        <v>19</v>
      </c>
      <c r="M966" s="5" t="s">
        <v>19</v>
      </c>
      <c r="N966" s="5" t="s">
        <v>19</v>
      </c>
      <c r="O966" s="5" t="s">
        <v>19</v>
      </c>
      <c r="P966" s="5" t="s">
        <v>19</v>
      </c>
      <c r="Q966" s="5" t="s">
        <v>19</v>
      </c>
      <c r="R966" s="5" t="s">
        <v>19</v>
      </c>
      <c r="S966" s="5" t="s">
        <v>19</v>
      </c>
      <c r="T966" s="5" t="str">
        <f>HYPERLINK("http://www.lghausys.co.kr/popup/rn/download/downloadPopup.jsp?from=plwindow&amp;uu=/upload/window/REPORT/LGH-DA19-028.pdf","결로발생없음")</f>
        <v>결로발생없음</v>
      </c>
      <c r="U966" s="5" t="s">
        <v>19</v>
      </c>
      <c r="V966" s="5" t="s">
        <v>19</v>
      </c>
      <c r="W966" s="5" t="s">
        <v>75</v>
      </c>
      <c r="X966"/>
    </row>
    <row r="967" spans="1:24">
      <c r="A967" t="s">
        <v>52</v>
      </c>
      <c r="B967" t="s">
        <v>19</v>
      </c>
      <c r="C967" t="s">
        <v>14</v>
      </c>
      <c r="D967" t="s">
        <v>21</v>
      </c>
      <c r="E967" t="s">
        <v>19</v>
      </c>
      <c r="F967" t="s">
        <v>19</v>
      </c>
      <c r="G967" t="s">
        <v>19</v>
      </c>
      <c r="H967" t="s">
        <v>19</v>
      </c>
      <c r="I967" t="s">
        <v>19</v>
      </c>
      <c r="J967" t="s">
        <v>145</v>
      </c>
      <c r="K967" s="21" t="s">
        <v>607</v>
      </c>
      <c r="L967" s="5" t="s">
        <v>19</v>
      </c>
      <c r="M967" s="5" t="s">
        <v>19</v>
      </c>
      <c r="N967" s="5" t="s">
        <v>19</v>
      </c>
      <c r="O967" s="5" t="s">
        <v>19</v>
      </c>
      <c r="P967" s="5" t="s">
        <v>19</v>
      </c>
      <c r="Q967" s="5" t="s">
        <v>19</v>
      </c>
      <c r="R967" s="5" t="s">
        <v>19</v>
      </c>
      <c r="S967" s="5" t="s">
        <v>19</v>
      </c>
      <c r="T967" s="5" t="str">
        <f>HYPERLINK("http://www.lghausys.co.kr/popup/rn/download/downloadPopup.jsp?from=plwindow&amp;uu=/upload/window/REPORT/LGH-DA19-029.pdf","결로발생없음")</f>
        <v>결로발생없음</v>
      </c>
      <c r="U967" s="5" t="s">
        <v>19</v>
      </c>
      <c r="V967" s="5" t="s">
        <v>19</v>
      </c>
      <c r="W967" s="5" t="s">
        <v>75</v>
      </c>
      <c r="X967"/>
    </row>
    <row r="968" spans="1:24">
      <c r="A968" t="s">
        <v>52</v>
      </c>
      <c r="B968" t="s">
        <v>19</v>
      </c>
      <c r="C968" t="s">
        <v>14</v>
      </c>
      <c r="D968" t="s">
        <v>68</v>
      </c>
      <c r="E968" t="s">
        <v>19</v>
      </c>
      <c r="F968" t="s">
        <v>19</v>
      </c>
      <c r="G968" t="s">
        <v>19</v>
      </c>
      <c r="H968" t="s">
        <v>19</v>
      </c>
      <c r="I968" t="s">
        <v>19</v>
      </c>
      <c r="J968" t="s">
        <v>145</v>
      </c>
      <c r="K968" s="21" t="s">
        <v>607</v>
      </c>
      <c r="L968" s="5" t="s">
        <v>19</v>
      </c>
      <c r="M968" s="5" t="s">
        <v>19</v>
      </c>
      <c r="N968" s="5" t="s">
        <v>19</v>
      </c>
      <c r="O968" s="5" t="s">
        <v>19</v>
      </c>
      <c r="P968" s="5" t="s">
        <v>19</v>
      </c>
      <c r="Q968" s="5" t="s">
        <v>19</v>
      </c>
      <c r="R968" s="5" t="s">
        <v>19</v>
      </c>
      <c r="S968" s="5" t="s">
        <v>19</v>
      </c>
      <c r="T968" s="5" t="str">
        <f>HYPERLINK("http://www.lghausys.co.kr/popup/rn/download/downloadPopup.jsp?from=plwindow&amp;uu=/upload/window/REPORT/LGH-DA19-030.pdf","결로발생없음")</f>
        <v>결로발생없음</v>
      </c>
      <c r="U968" s="5" t="s">
        <v>19</v>
      </c>
      <c r="V968" s="5" t="s">
        <v>19</v>
      </c>
      <c r="W968" s="5" t="s">
        <v>75</v>
      </c>
      <c r="X968"/>
    </row>
    <row r="969" spans="1:24">
      <c r="A969" t="s">
        <v>39</v>
      </c>
      <c r="B969" t="s">
        <v>19</v>
      </c>
      <c r="C969" t="s">
        <v>31</v>
      </c>
      <c r="D969" t="s">
        <v>51</v>
      </c>
      <c r="E969" t="s">
        <v>19</v>
      </c>
      <c r="F969" t="s">
        <v>19</v>
      </c>
      <c r="G969" t="s">
        <v>19</v>
      </c>
      <c r="H969" t="s">
        <v>19</v>
      </c>
      <c r="I969" t="s">
        <v>19</v>
      </c>
      <c r="J969" t="s">
        <v>74</v>
      </c>
      <c r="K969" s="21" t="s">
        <v>607</v>
      </c>
      <c r="L969" s="5" t="s">
        <v>19</v>
      </c>
      <c r="M969" s="5" t="s">
        <v>19</v>
      </c>
      <c r="N969" s="5" t="s">
        <v>19</v>
      </c>
      <c r="O969" s="5" t="str">
        <f>HYPERLINK("http://www.lghausys.co.kr/popup/rn/download/downloadPopup.jsp?from=plwindow&amp;uu=/upload/window/REPORT/LGH-WA19-250.pdf","1등급")</f>
        <v>1등급</v>
      </c>
      <c r="P969" s="5" t="s">
        <v>19</v>
      </c>
      <c r="Q969" s="5" t="s">
        <v>19</v>
      </c>
      <c r="R969" s="5" t="s">
        <v>19</v>
      </c>
      <c r="S969" s="5" t="s">
        <v>19</v>
      </c>
      <c r="T969" s="5" t="s">
        <v>19</v>
      </c>
      <c r="U969" s="5" t="s">
        <v>19</v>
      </c>
      <c r="V969" s="5" t="s">
        <v>19</v>
      </c>
      <c r="W969" s="5" t="s">
        <v>152</v>
      </c>
      <c r="X969"/>
    </row>
    <row r="970" spans="1:24">
      <c r="A970" t="s">
        <v>61</v>
      </c>
      <c r="B970" t="s">
        <v>19</v>
      </c>
      <c r="C970" t="s">
        <v>31</v>
      </c>
      <c r="D970" t="s">
        <v>248</v>
      </c>
      <c r="E970" t="s">
        <v>19</v>
      </c>
      <c r="F970" t="s">
        <v>19</v>
      </c>
      <c r="G970" t="s">
        <v>19</v>
      </c>
      <c r="H970" t="s">
        <v>19</v>
      </c>
      <c r="I970" t="s">
        <v>19</v>
      </c>
      <c r="J970" t="s">
        <v>97</v>
      </c>
      <c r="K970" s="21" t="s">
        <v>607</v>
      </c>
      <c r="L970" s="5" t="s">
        <v>19</v>
      </c>
      <c r="M970" s="5" t="s">
        <v>19</v>
      </c>
      <c r="N970" s="5" t="s">
        <v>19</v>
      </c>
      <c r="O970" s="5" t="str">
        <f>HYPERLINK("http://www.lghausys.co.kr/popup/rn/download/downloadPopup.jsp?from=plwindow&amp;uu=/upload/window/REPORT/LGH-WA19-266.pdf","2등급")</f>
        <v>2등급</v>
      </c>
      <c r="P970" s="5" t="s">
        <v>19</v>
      </c>
      <c r="Q970" s="5" t="s">
        <v>19</v>
      </c>
      <c r="R970" s="5" t="s">
        <v>19</v>
      </c>
      <c r="S970" s="5" t="s">
        <v>19</v>
      </c>
      <c r="T970" s="5" t="s">
        <v>19</v>
      </c>
      <c r="U970" s="5" t="s">
        <v>19</v>
      </c>
      <c r="V970" s="5" t="s">
        <v>19</v>
      </c>
      <c r="W970" s="5" t="s">
        <v>152</v>
      </c>
      <c r="X970"/>
    </row>
    <row r="971" spans="1:24">
      <c r="A971" t="s">
        <v>61</v>
      </c>
      <c r="B971" t="s">
        <v>19</v>
      </c>
      <c r="C971" t="s">
        <v>34</v>
      </c>
      <c r="D971" t="s">
        <v>248</v>
      </c>
      <c r="E971" t="s">
        <v>19</v>
      </c>
      <c r="F971" t="s">
        <v>19</v>
      </c>
      <c r="G971" t="s">
        <v>19</v>
      </c>
      <c r="H971" t="s">
        <v>19</v>
      </c>
      <c r="I971" t="s">
        <v>19</v>
      </c>
      <c r="J971" t="s">
        <v>97</v>
      </c>
      <c r="K971" s="21" t="s">
        <v>607</v>
      </c>
      <c r="L971" s="5" t="s">
        <v>19</v>
      </c>
      <c r="M971" s="5" t="s">
        <v>19</v>
      </c>
      <c r="N971" s="5" t="str">
        <f>HYPERLINK("http://www.lghausys.co.kr/popup/rn/download/downloadPopup.jsp?from=plwindow&amp;uu=/upload/window/REPORT/LGH-TA19-209.pdf","1.77")</f>
        <v>1.77</v>
      </c>
      <c r="O971" s="5" t="s">
        <v>19</v>
      </c>
      <c r="P971" s="5" t="s">
        <v>19</v>
      </c>
      <c r="Q971" s="5" t="s">
        <v>19</v>
      </c>
      <c r="R971" s="5" t="s">
        <v>19</v>
      </c>
      <c r="S971" s="5" t="s">
        <v>19</v>
      </c>
      <c r="T971" s="5" t="s">
        <v>19</v>
      </c>
      <c r="U971" s="5" t="s">
        <v>19</v>
      </c>
      <c r="V971" s="5" t="s">
        <v>19</v>
      </c>
      <c r="W971" s="5" t="s">
        <v>75</v>
      </c>
      <c r="X971"/>
    </row>
    <row r="972" spans="1:24">
      <c r="A972" t="s">
        <v>61</v>
      </c>
      <c r="B972" t="s">
        <v>19</v>
      </c>
      <c r="C972" t="s">
        <v>20</v>
      </c>
      <c r="D972" t="s">
        <v>235</v>
      </c>
      <c r="E972" t="s">
        <v>19</v>
      </c>
      <c r="F972" t="s">
        <v>19</v>
      </c>
      <c r="G972" t="s">
        <v>19</v>
      </c>
      <c r="H972" t="s">
        <v>19</v>
      </c>
      <c r="I972" t="s">
        <v>19</v>
      </c>
      <c r="J972" t="s">
        <v>74</v>
      </c>
      <c r="K972" s="21" t="str">
        <f>IF(X972&lt;=0.9,HYPERLINK("http://www.lxhausys.co.kr/popup/rn/download/downloadPopup.jsp?from=plwindow&amp;uu=/upload/window/REPORT/LGH-TW19-076.pdf","1등급"),IF(X972&lt;=1.2,HYPERLINK("http://www.lxhausys.co.kr/popup/rn/download/downloadPopup.jsp?from=plwindow&amp;uu=/upload/window/REPORT/LGH-TW19-076.pdf","2등급"),IF(X972&lt;=1.8,HYPERLINK("http://www.lxhausys.co.kr/popup/rn/download/downloadPopup.jsp?from=plwindow&amp;uu=/upload/window/REPORT/LGH-TW19-076.pdf","3등급"),IF(X972&lt;=2.3,HYPERLINK("http://www.lxhausys.co.kr/popup/rn/download/downloadPopup.jsp?from=plwindow&amp;uu=/upload/window/REPORT/LGH-TW19-076.pdf","4등급"),IF(X972&lt;=2.8,HYPERLINK("http://www.lxhausys.co.kr/popup/rn/download/downloadPopup.jsp?from=plwindow&amp;uu=/upload/window/REPORT/LGH-TW19-076.pdf","5등급"),HYPERLINK("http://www.lxhausys.co.kr/popup/rn/download/downloadPopup.jsp?from=plwindow&amp;uu=/upload/window/REPORT/LGH-TW19-076.pdf","등급외"))))))</f>
        <v>4등급</v>
      </c>
      <c r="L972" s="5">
        <v>2.0880000000000001</v>
      </c>
      <c r="M972" s="5" t="s">
        <v>103</v>
      </c>
      <c r="N972" s="5" t="s">
        <v>607</v>
      </c>
      <c r="O972" s="5" t="s">
        <v>19</v>
      </c>
      <c r="P972" s="5" t="s">
        <v>19</v>
      </c>
      <c r="Q972" s="5" t="s">
        <v>19</v>
      </c>
      <c r="R972" s="5" t="s">
        <v>19</v>
      </c>
      <c r="S972" s="5" t="s">
        <v>19</v>
      </c>
      <c r="T972" s="5" t="s">
        <v>19</v>
      </c>
      <c r="U972" s="5" t="s">
        <v>19</v>
      </c>
      <c r="V972" s="5" t="s">
        <v>19</v>
      </c>
      <c r="W972" s="5" t="s">
        <v>19</v>
      </c>
      <c r="X972" s="19">
        <f>L972</f>
        <v>2.0880000000000001</v>
      </c>
    </row>
    <row r="973" spans="1:24">
      <c r="A973" t="s">
        <v>61</v>
      </c>
      <c r="B973" t="s">
        <v>19</v>
      </c>
      <c r="C973" t="s">
        <v>20</v>
      </c>
      <c r="D973" t="s">
        <v>212</v>
      </c>
      <c r="E973" t="s">
        <v>19</v>
      </c>
      <c r="F973" t="s">
        <v>19</v>
      </c>
      <c r="G973" t="s">
        <v>19</v>
      </c>
      <c r="H973" t="s">
        <v>19</v>
      </c>
      <c r="I973" t="s">
        <v>19</v>
      </c>
      <c r="J973" t="s">
        <v>74</v>
      </c>
      <c r="K973" s="21" t="str">
        <f>IF(X973&lt;=0.9,HYPERLINK("http://www.lxhausys.co.kr/popup/rn/download/downloadPopup.jsp?from=plwindow&amp;uu=/upload/window/REPORT/LGH-TW19-077.pdf","1등급"),IF(X973&lt;=1.2,HYPERLINK("http://www.lxhausys.co.kr/popup/rn/download/downloadPopup.jsp?from=plwindow&amp;uu=/upload/window/REPORT/LGH-TW19-077.pdf","2등급"),IF(X973&lt;=1.8,HYPERLINK("http://www.lxhausys.co.kr/popup/rn/download/downloadPopup.jsp?from=plwindow&amp;uu=/upload/window/REPORT/LGH-TW19-077.pdf","3등급"),IF(X973&lt;=2.3,HYPERLINK("http://www.lxhausys.co.kr/popup/rn/download/downloadPopup.jsp?from=plwindow&amp;uu=/upload/window/REPORT/LGH-TW19-077.pdf","4등급"),IF(X973&lt;=2.8,HYPERLINK("http://www.lxhausys.co.kr/popup/rn/download/downloadPopup.jsp?from=plwindow&amp;uu=/upload/window/REPORT/LGH-TW19-077.pdf","5등급"),HYPERLINK("http://www.lxhausys.co.kr/popup/rn/download/downloadPopup.jsp?from=plwindow&amp;uu=/upload/window/REPORT/LGH-TW19-077.pdf","등급외"))))))</f>
        <v>4등급</v>
      </c>
      <c r="L973" s="5">
        <v>1.883</v>
      </c>
      <c r="M973" s="5" t="s">
        <v>103</v>
      </c>
      <c r="N973" s="5" t="s">
        <v>607</v>
      </c>
      <c r="O973" s="5" t="s">
        <v>19</v>
      </c>
      <c r="P973" s="5" t="s">
        <v>19</v>
      </c>
      <c r="Q973" s="5" t="s">
        <v>19</v>
      </c>
      <c r="R973" s="5" t="s">
        <v>19</v>
      </c>
      <c r="S973" s="5" t="s">
        <v>19</v>
      </c>
      <c r="T973" s="5" t="s">
        <v>19</v>
      </c>
      <c r="U973" s="5" t="s">
        <v>19</v>
      </c>
      <c r="V973" s="5" t="s">
        <v>19</v>
      </c>
      <c r="W973" s="5" t="s">
        <v>19</v>
      </c>
      <c r="X973" s="19">
        <f>L973</f>
        <v>1.883</v>
      </c>
    </row>
    <row r="974" spans="1:24">
      <c r="A974" t="s">
        <v>61</v>
      </c>
      <c r="B974" t="s">
        <v>19</v>
      </c>
      <c r="C974" t="s">
        <v>20</v>
      </c>
      <c r="D974" t="s">
        <v>248</v>
      </c>
      <c r="E974" t="s">
        <v>19</v>
      </c>
      <c r="F974" t="s">
        <v>19</v>
      </c>
      <c r="G974" t="s">
        <v>19</v>
      </c>
      <c r="H974" t="s">
        <v>19</v>
      </c>
      <c r="I974" t="s">
        <v>19</v>
      </c>
      <c r="J974" t="s">
        <v>74</v>
      </c>
      <c r="K974" s="21" t="str">
        <f>IF(X974&lt;=0.9,HYPERLINK("http://www.lxhausys.co.kr/popup/rn/download/downloadPopup.jsp?from=plwindow&amp;uu=/upload/window/REPORT/LGH-TW19-078.pdf","1등급"),IF(X974&lt;=1.2,HYPERLINK("http://www.lxhausys.co.kr/popup/rn/download/downloadPopup.jsp?from=plwindow&amp;uu=/upload/window/REPORT/LGH-TW19-078.pdf","2등급"),IF(X974&lt;=1.8,HYPERLINK("http://www.lxhausys.co.kr/popup/rn/download/downloadPopup.jsp?from=plwindow&amp;uu=/upload/window/REPORT/LGH-TW19-078.pdf","3등급"),IF(X974&lt;=2.3,HYPERLINK("http://www.lxhausys.co.kr/popup/rn/download/downloadPopup.jsp?from=plwindow&amp;uu=/upload/window/REPORT/LGH-TW19-078.pdf","4등급"),IF(X974&lt;=2.8,HYPERLINK("http://www.lxhausys.co.kr/popup/rn/download/downloadPopup.jsp?from=plwindow&amp;uu=/upload/window/REPORT/LGH-TW19-078.pdf","5등급"),HYPERLINK("http://www.lxhausys.co.kr/popup/rn/download/downloadPopup.jsp?from=plwindow&amp;uu=/upload/window/REPORT/LGH-TW19-078.pdf","등급외"))))))</f>
        <v>3등급</v>
      </c>
      <c r="L974" s="5">
        <v>1.754</v>
      </c>
      <c r="M974" s="5" t="s">
        <v>103</v>
      </c>
      <c r="N974" s="5" t="s">
        <v>607</v>
      </c>
      <c r="O974" s="5" t="s">
        <v>19</v>
      </c>
      <c r="P974" s="5" t="s">
        <v>19</v>
      </c>
      <c r="Q974" s="5" t="s">
        <v>19</v>
      </c>
      <c r="R974" s="5" t="s">
        <v>19</v>
      </c>
      <c r="S974" s="5" t="s">
        <v>19</v>
      </c>
      <c r="T974" s="5" t="s">
        <v>19</v>
      </c>
      <c r="U974" s="5" t="s">
        <v>19</v>
      </c>
      <c r="V974" s="5" t="s">
        <v>19</v>
      </c>
      <c r="W974" s="5" t="s">
        <v>19</v>
      </c>
      <c r="X974" s="19">
        <f>L974</f>
        <v>1.754</v>
      </c>
    </row>
    <row r="975" spans="1:24">
      <c r="A975" t="s">
        <v>60</v>
      </c>
      <c r="B975" t="s">
        <v>19</v>
      </c>
      <c r="C975" t="s">
        <v>14</v>
      </c>
      <c r="D975" t="s">
        <v>25</v>
      </c>
      <c r="E975" t="s">
        <v>19</v>
      </c>
      <c r="F975" t="s">
        <v>19</v>
      </c>
      <c r="G975" t="s">
        <v>19</v>
      </c>
      <c r="H975" t="s">
        <v>28</v>
      </c>
      <c r="I975" t="s">
        <v>19</v>
      </c>
      <c r="J975" t="s">
        <v>97</v>
      </c>
      <c r="K975" s="21" t="s">
        <v>607</v>
      </c>
      <c r="L975" s="5" t="s">
        <v>19</v>
      </c>
      <c r="M975" s="5" t="s">
        <v>19</v>
      </c>
      <c r="N975" s="5" t="s">
        <v>19</v>
      </c>
      <c r="O975" s="5" t="s">
        <v>19</v>
      </c>
      <c r="P975" s="5" t="s">
        <v>19</v>
      </c>
      <c r="Q975" s="5" t="s">
        <v>19</v>
      </c>
      <c r="R975" s="5" t="s">
        <v>19</v>
      </c>
      <c r="S975" s="5" t="s">
        <v>19</v>
      </c>
      <c r="T975" s="5" t="str">
        <f>HYPERLINK("http://www.lghausys.co.kr/popup/rn/download/downloadPopup.jsp?from=plwindow&amp;uu=/upload/window/REPORT/LGH-DA19-033.pdf","결로발생없음")</f>
        <v>결로발생없음</v>
      </c>
      <c r="U975" s="5" t="s">
        <v>19</v>
      </c>
      <c r="V975" s="5" t="s">
        <v>19</v>
      </c>
      <c r="W975" s="5" t="s">
        <v>75</v>
      </c>
      <c r="X975"/>
    </row>
    <row r="976" spans="1:24">
      <c r="A976" t="s">
        <v>57</v>
      </c>
      <c r="B976" t="s">
        <v>58</v>
      </c>
      <c r="C976" t="s">
        <v>31</v>
      </c>
      <c r="D976" t="s">
        <v>25</v>
      </c>
      <c r="E976" t="s">
        <v>19</v>
      </c>
      <c r="F976" t="s">
        <v>19</v>
      </c>
      <c r="G976" t="s">
        <v>19</v>
      </c>
      <c r="H976" t="s">
        <v>19</v>
      </c>
      <c r="I976" t="s">
        <v>19</v>
      </c>
      <c r="J976" t="s">
        <v>74</v>
      </c>
      <c r="K976" s="21" t="s">
        <v>607</v>
      </c>
      <c r="L976" s="5" t="s">
        <v>19</v>
      </c>
      <c r="M976" s="5" t="s">
        <v>19</v>
      </c>
      <c r="N976" s="5" t="s">
        <v>19</v>
      </c>
      <c r="O976" s="5" t="str">
        <f>HYPERLINK("http://www.lghausys.co.kr/popup/rn/download/downloadPopup.jsp?from=plwindow&amp;uu=/upload/window/REPORT/LGH-WA19-268.pdf","1등급")</f>
        <v>1등급</v>
      </c>
      <c r="P976" s="5" t="s">
        <v>19</v>
      </c>
      <c r="Q976" s="5" t="s">
        <v>19</v>
      </c>
      <c r="R976" s="5" t="s">
        <v>19</v>
      </c>
      <c r="S976" s="5" t="s">
        <v>19</v>
      </c>
      <c r="T976" s="5" t="s">
        <v>19</v>
      </c>
      <c r="U976" s="5" t="s">
        <v>19</v>
      </c>
      <c r="V976" s="5" t="s">
        <v>19</v>
      </c>
      <c r="W976" s="5" t="s">
        <v>152</v>
      </c>
      <c r="X976"/>
    </row>
    <row r="977" spans="1:24">
      <c r="A977" t="s">
        <v>100</v>
      </c>
      <c r="B977" t="s">
        <v>19</v>
      </c>
      <c r="C977" t="s">
        <v>31</v>
      </c>
      <c r="D977" t="s">
        <v>41</v>
      </c>
      <c r="E977" t="s">
        <v>19</v>
      </c>
      <c r="F977" t="s">
        <v>19</v>
      </c>
      <c r="G977" t="s">
        <v>19</v>
      </c>
      <c r="H977" t="s">
        <v>41</v>
      </c>
      <c r="I977" t="s">
        <v>19</v>
      </c>
      <c r="J977" t="s">
        <v>74</v>
      </c>
      <c r="K977" s="21" t="s">
        <v>607</v>
      </c>
      <c r="L977" s="5" t="s">
        <v>19</v>
      </c>
      <c r="M977" s="5" t="s">
        <v>19</v>
      </c>
      <c r="N977" s="5" t="s">
        <v>19</v>
      </c>
      <c r="O977" s="5" t="str">
        <f>HYPERLINK("http://www.lghausys.co.kr/popup/rn/download/downloadPopup.jsp?from=plwindow&amp;uu=/upload/window/REPORT/LGH-WA19-269.pdf","1등급")</f>
        <v>1등급</v>
      </c>
      <c r="P977" s="5" t="s">
        <v>19</v>
      </c>
      <c r="Q977" s="5" t="s">
        <v>19</v>
      </c>
      <c r="R977" s="5" t="s">
        <v>19</v>
      </c>
      <c r="S977" s="5" t="s">
        <v>19</v>
      </c>
      <c r="T977" s="5" t="s">
        <v>19</v>
      </c>
      <c r="U977" s="5" t="s">
        <v>19</v>
      </c>
      <c r="V977" s="5" t="s">
        <v>19</v>
      </c>
      <c r="W977" s="5" t="s">
        <v>152</v>
      </c>
      <c r="X977"/>
    </row>
    <row r="978" spans="1:24">
      <c r="A978" t="s">
        <v>18</v>
      </c>
      <c r="B978" t="s">
        <v>19</v>
      </c>
      <c r="C978" t="s">
        <v>31</v>
      </c>
      <c r="D978" t="s">
        <v>25</v>
      </c>
      <c r="E978" t="s">
        <v>19</v>
      </c>
      <c r="F978" t="s">
        <v>19</v>
      </c>
      <c r="G978" t="s">
        <v>19</v>
      </c>
      <c r="H978" t="s">
        <v>19</v>
      </c>
      <c r="I978" t="s">
        <v>19</v>
      </c>
      <c r="J978" t="s">
        <v>74</v>
      </c>
      <c r="K978" s="21" t="s">
        <v>607</v>
      </c>
      <c r="L978" s="5" t="s">
        <v>19</v>
      </c>
      <c r="M978" s="5" t="s">
        <v>19</v>
      </c>
      <c r="N978" s="5" t="s">
        <v>19</v>
      </c>
      <c r="O978" s="5" t="str">
        <f>HYPERLINK("http://www.lghausys.co.kr/popup/rn/download/downloadPopup.jsp?from=plwindow&amp;uu=/upload/window/REPORT/LGH-WA19-270.pdf","1등급")</f>
        <v>1등급</v>
      </c>
      <c r="P978" s="5" t="s">
        <v>19</v>
      </c>
      <c r="Q978" s="5" t="s">
        <v>19</v>
      </c>
      <c r="R978" s="5" t="s">
        <v>19</v>
      </c>
      <c r="S978" s="5" t="s">
        <v>19</v>
      </c>
      <c r="T978" s="5" t="s">
        <v>19</v>
      </c>
      <c r="U978" s="5" t="s">
        <v>19</v>
      </c>
      <c r="V978" s="5" t="s">
        <v>19</v>
      </c>
      <c r="W978" s="5" t="s">
        <v>152</v>
      </c>
      <c r="X978"/>
    </row>
    <row r="979" spans="1:24">
      <c r="A979" t="s">
        <v>442</v>
      </c>
      <c r="B979" t="s">
        <v>197</v>
      </c>
      <c r="C979" t="s">
        <v>31</v>
      </c>
      <c r="D979" t="s">
        <v>126</v>
      </c>
      <c r="E979" t="s">
        <v>19</v>
      </c>
      <c r="F979" t="s">
        <v>19</v>
      </c>
      <c r="G979" t="s">
        <v>19</v>
      </c>
      <c r="H979" t="s">
        <v>19</v>
      </c>
      <c r="I979" t="s">
        <v>19</v>
      </c>
      <c r="J979" t="s">
        <v>97</v>
      </c>
      <c r="K979" s="21" t="s">
        <v>607</v>
      </c>
      <c r="L979" s="5" t="s">
        <v>19</v>
      </c>
      <c r="M979" s="5" t="s">
        <v>19</v>
      </c>
      <c r="N979" s="5" t="s">
        <v>19</v>
      </c>
      <c r="O979" s="5" t="str">
        <f>HYPERLINK("http://www.lghausys.co.kr/popup/rn/download/downloadPopup.jsp?from=plwindow&amp;uu=/upload/window/REPORT/LGH-WA19-271.pdf","1등급")</f>
        <v>1등급</v>
      </c>
      <c r="P979" s="5" t="s">
        <v>19</v>
      </c>
      <c r="Q979" s="5" t="s">
        <v>19</v>
      </c>
      <c r="R979" s="5" t="s">
        <v>19</v>
      </c>
      <c r="S979" s="5" t="s">
        <v>19</v>
      </c>
      <c r="T979" s="5" t="s">
        <v>19</v>
      </c>
      <c r="U979" s="5" t="s">
        <v>19</v>
      </c>
      <c r="V979" s="5" t="s">
        <v>19</v>
      </c>
      <c r="W979" s="5" t="s">
        <v>152</v>
      </c>
      <c r="X979"/>
    </row>
    <row r="980" spans="1:24">
      <c r="A980" t="s">
        <v>249</v>
      </c>
      <c r="B980" t="s">
        <v>19</v>
      </c>
      <c r="C980" t="s">
        <v>14</v>
      </c>
      <c r="D980" t="s">
        <v>25</v>
      </c>
      <c r="E980" t="s">
        <v>204</v>
      </c>
      <c r="F980" t="s">
        <v>19</v>
      </c>
      <c r="G980" t="s">
        <v>182</v>
      </c>
      <c r="H980" t="s">
        <v>28</v>
      </c>
      <c r="I980" t="s">
        <v>19</v>
      </c>
      <c r="J980" t="s">
        <v>145</v>
      </c>
      <c r="K980" s="21" t="s">
        <v>607</v>
      </c>
      <c r="L980" s="5" t="s">
        <v>19</v>
      </c>
      <c r="M980" s="5" t="s">
        <v>19</v>
      </c>
      <c r="N980" s="5" t="s">
        <v>19</v>
      </c>
      <c r="O980" s="5" t="s">
        <v>19</v>
      </c>
      <c r="P980" s="5" t="s">
        <v>19</v>
      </c>
      <c r="Q980" s="5" t="s">
        <v>19</v>
      </c>
      <c r="R980" s="5" t="s">
        <v>19</v>
      </c>
      <c r="S980" s="5" t="s">
        <v>19</v>
      </c>
      <c r="T980" s="5" t="str">
        <f>HYPERLINK("http://www.lghausys.co.kr/popup/rn/download/downloadPopup.jsp?from=plwindow&amp;uu=/upload/window/REPORT/LGH-DA19-036.pdf","결로발생없음")</f>
        <v>결로발생없음</v>
      </c>
      <c r="U980" s="5" t="s">
        <v>19</v>
      </c>
      <c r="V980" s="5" t="s">
        <v>19</v>
      </c>
      <c r="W980" s="5" t="s">
        <v>75</v>
      </c>
      <c r="X980"/>
    </row>
    <row r="981" spans="1:24">
      <c r="A981" t="s">
        <v>136</v>
      </c>
      <c r="B981" t="s">
        <v>136</v>
      </c>
      <c r="C981" t="s">
        <v>31</v>
      </c>
      <c r="D981" t="s">
        <v>25</v>
      </c>
      <c r="E981" t="s">
        <v>178</v>
      </c>
      <c r="F981" t="s">
        <v>19</v>
      </c>
      <c r="G981" t="s">
        <v>19</v>
      </c>
      <c r="H981" t="s">
        <v>19</v>
      </c>
      <c r="I981" t="s">
        <v>19</v>
      </c>
      <c r="J981" t="s">
        <v>145</v>
      </c>
      <c r="K981" s="21" t="s">
        <v>607</v>
      </c>
      <c r="L981" s="5" t="s">
        <v>19</v>
      </c>
      <c r="M981" s="5" t="s">
        <v>19</v>
      </c>
      <c r="N981" s="5" t="s">
        <v>19</v>
      </c>
      <c r="O981" s="5" t="str">
        <f>HYPERLINK("http://www.lghausys.co.kr/popup/rn/download/downloadPopup.jsp?from=plwindow&amp;uu=/upload/window/REPORT/LGH-WA19-275.pdf","2등급")</f>
        <v>2등급</v>
      </c>
      <c r="P981" s="5" t="s">
        <v>19</v>
      </c>
      <c r="Q981" s="5" t="s">
        <v>19</v>
      </c>
      <c r="R981" s="5" t="s">
        <v>19</v>
      </c>
      <c r="S981" s="5" t="s">
        <v>19</v>
      </c>
      <c r="T981" s="5" t="s">
        <v>19</v>
      </c>
      <c r="U981" s="5" t="s">
        <v>19</v>
      </c>
      <c r="V981" s="5" t="s">
        <v>19</v>
      </c>
      <c r="W981" s="5" t="s">
        <v>152</v>
      </c>
      <c r="X981"/>
    </row>
    <row r="982" spans="1:24">
      <c r="A982" t="s">
        <v>52</v>
      </c>
      <c r="B982" t="s">
        <v>52</v>
      </c>
      <c r="C982" t="s">
        <v>31</v>
      </c>
      <c r="D982" t="s">
        <v>68</v>
      </c>
      <c r="E982" t="s">
        <v>19</v>
      </c>
      <c r="F982" t="s">
        <v>19</v>
      </c>
      <c r="G982" t="s">
        <v>19</v>
      </c>
      <c r="H982" t="s">
        <v>66</v>
      </c>
      <c r="I982" t="s">
        <v>19</v>
      </c>
      <c r="J982" t="s">
        <v>145</v>
      </c>
      <c r="K982" s="21" t="s">
        <v>607</v>
      </c>
      <c r="L982" s="5" t="s">
        <v>19</v>
      </c>
      <c r="M982" s="5" t="s">
        <v>19</v>
      </c>
      <c r="N982" s="5" t="s">
        <v>19</v>
      </c>
      <c r="O982" s="5" t="str">
        <f>HYPERLINK("http://www.lghausys.co.kr/popup/rn/download/downloadPopup.jsp?from=plwindow&amp;uu=/upload/window/REPORT/LGH-WA19-276.pdf","1등급")</f>
        <v>1등급</v>
      </c>
      <c r="P982" s="5" t="s">
        <v>19</v>
      </c>
      <c r="Q982" s="5" t="s">
        <v>19</v>
      </c>
      <c r="R982" s="5" t="s">
        <v>19</v>
      </c>
      <c r="S982" s="5" t="s">
        <v>19</v>
      </c>
      <c r="T982" s="5" t="s">
        <v>19</v>
      </c>
      <c r="U982" s="5" t="s">
        <v>19</v>
      </c>
      <c r="V982" s="5" t="s">
        <v>19</v>
      </c>
      <c r="W982" s="5" t="s">
        <v>152</v>
      </c>
      <c r="X982"/>
    </row>
    <row r="983" spans="1:24">
      <c r="A983" t="s">
        <v>250</v>
      </c>
      <c r="B983" t="s">
        <v>250</v>
      </c>
      <c r="C983" t="s">
        <v>31</v>
      </c>
      <c r="D983" t="s">
        <v>251</v>
      </c>
      <c r="E983" t="s">
        <v>19</v>
      </c>
      <c r="F983" t="s">
        <v>68</v>
      </c>
      <c r="G983" t="s">
        <v>182</v>
      </c>
      <c r="H983" t="s">
        <v>66</v>
      </c>
      <c r="I983" t="s">
        <v>19</v>
      </c>
      <c r="J983" t="s">
        <v>145</v>
      </c>
      <c r="K983" s="21" t="s">
        <v>607</v>
      </c>
      <c r="L983" s="5" t="s">
        <v>19</v>
      </c>
      <c r="M983" s="5" t="s">
        <v>19</v>
      </c>
      <c r="N983" s="5" t="s">
        <v>19</v>
      </c>
      <c r="O983" s="5" t="str">
        <f>HYPERLINK("http://www.lghausys.co.kr/popup/rn/download/downloadPopup.jsp?from=plwindow&amp;uu=/upload/window/REPORT/LGH-WA19-277.pdf","1등급")</f>
        <v>1등급</v>
      </c>
      <c r="P983" s="5" t="s">
        <v>19</v>
      </c>
      <c r="Q983" s="5" t="s">
        <v>19</v>
      </c>
      <c r="R983" s="5" t="s">
        <v>19</v>
      </c>
      <c r="S983" s="5" t="s">
        <v>19</v>
      </c>
      <c r="T983" s="5" t="s">
        <v>19</v>
      </c>
      <c r="U983" s="5" t="s">
        <v>19</v>
      </c>
      <c r="V983" s="5" t="s">
        <v>19</v>
      </c>
      <c r="W983" s="5" t="s">
        <v>152</v>
      </c>
      <c r="X983"/>
    </row>
    <row r="984" spans="1:24">
      <c r="A984" t="s">
        <v>43</v>
      </c>
      <c r="B984" t="s">
        <v>43</v>
      </c>
      <c r="C984" t="s">
        <v>34</v>
      </c>
      <c r="D984" t="s">
        <v>21</v>
      </c>
      <c r="E984" t="s">
        <v>19</v>
      </c>
      <c r="F984" t="s">
        <v>19</v>
      </c>
      <c r="G984" t="s">
        <v>19</v>
      </c>
      <c r="H984" t="s">
        <v>19</v>
      </c>
      <c r="I984" t="s">
        <v>19</v>
      </c>
      <c r="J984" t="s">
        <v>97</v>
      </c>
      <c r="K984" s="21" t="s">
        <v>607</v>
      </c>
      <c r="L984" s="5" t="s">
        <v>19</v>
      </c>
      <c r="M984" s="5" t="s">
        <v>19</v>
      </c>
      <c r="N984" s="5" t="str">
        <f>HYPERLINK("http://www.lghausys.co.kr/popup/rn/download/downloadPopup.jsp?from=plwindow&amp;uu=/upload/window/REPORT/LGH-TA19-229.pdf","1.751")</f>
        <v>1.751</v>
      </c>
      <c r="O984" s="5" t="s">
        <v>19</v>
      </c>
      <c r="P984" s="5" t="s">
        <v>19</v>
      </c>
      <c r="Q984" s="5" t="s">
        <v>19</v>
      </c>
      <c r="R984" s="5" t="s">
        <v>19</v>
      </c>
      <c r="S984" s="5" t="s">
        <v>19</v>
      </c>
      <c r="T984" s="5" t="s">
        <v>19</v>
      </c>
      <c r="U984" s="5" t="s">
        <v>19</v>
      </c>
      <c r="V984" s="5" t="s">
        <v>19</v>
      </c>
      <c r="W984" s="5" t="s">
        <v>75</v>
      </c>
      <c r="X984"/>
    </row>
    <row r="985" spans="1:24">
      <c r="A985" t="s">
        <v>222</v>
      </c>
      <c r="B985" t="s">
        <v>222</v>
      </c>
      <c r="C985" t="s">
        <v>34</v>
      </c>
      <c r="D985" t="s">
        <v>64</v>
      </c>
      <c r="E985" t="s">
        <v>178</v>
      </c>
      <c r="F985" t="s">
        <v>19</v>
      </c>
      <c r="G985" t="s">
        <v>19</v>
      </c>
      <c r="H985" t="s">
        <v>53</v>
      </c>
      <c r="I985" t="s">
        <v>19</v>
      </c>
      <c r="J985" t="s">
        <v>74</v>
      </c>
      <c r="K985" s="21" t="s">
        <v>607</v>
      </c>
      <c r="L985" s="5" t="s">
        <v>19</v>
      </c>
      <c r="M985" s="5" t="s">
        <v>19</v>
      </c>
      <c r="N985" s="5" t="str">
        <f>HYPERLINK("http://www.lghausys.co.kr/popup/rn/download/downloadPopup.jsp?from=plwindow&amp;uu=/upload/window/REPORT/LGH-TA19-235.pdf","0.799")</f>
        <v>0.799</v>
      </c>
      <c r="O985" s="5" t="s">
        <v>19</v>
      </c>
      <c r="P985" s="5" t="s">
        <v>19</v>
      </c>
      <c r="Q985" s="5" t="s">
        <v>19</v>
      </c>
      <c r="R985" s="5" t="s">
        <v>19</v>
      </c>
      <c r="S985" s="5" t="s">
        <v>19</v>
      </c>
      <c r="T985" s="5" t="s">
        <v>19</v>
      </c>
      <c r="U985" s="5" t="s">
        <v>19</v>
      </c>
      <c r="V985" s="5" t="s">
        <v>19</v>
      </c>
      <c r="W985" s="5" t="s">
        <v>75</v>
      </c>
      <c r="X985"/>
    </row>
    <row r="986" spans="1:24">
      <c r="A986" t="s">
        <v>252</v>
      </c>
      <c r="B986" t="s">
        <v>252</v>
      </c>
      <c r="C986" t="s">
        <v>31</v>
      </c>
      <c r="D986" t="s">
        <v>68</v>
      </c>
      <c r="E986" t="s">
        <v>204</v>
      </c>
      <c r="F986" t="s">
        <v>19</v>
      </c>
      <c r="G986" t="s">
        <v>182</v>
      </c>
      <c r="H986" t="s">
        <v>19</v>
      </c>
      <c r="I986" t="s">
        <v>19</v>
      </c>
      <c r="J986" t="s">
        <v>97</v>
      </c>
      <c r="K986" s="21" t="s">
        <v>607</v>
      </c>
      <c r="L986" s="5" t="s">
        <v>19</v>
      </c>
      <c r="M986" s="5" t="s">
        <v>19</v>
      </c>
      <c r="N986" s="5" t="s">
        <v>19</v>
      </c>
      <c r="O986" s="5" t="str">
        <f>HYPERLINK("http://www.lghausys.co.kr/popup/rn/download/downloadPopup.jsp?from=plwindow&amp;uu=/upload/window/REPORT/LGH-WA19-291.pdf","2등급")</f>
        <v>2등급</v>
      </c>
      <c r="P986" s="5" t="str">
        <f>HYPERLINK("http://www.lghausys.co.kr/popup/rn/download/downloadPopup.jsp?from=plwindow&amp;uu=/upload/window/REPORT/LGH-WA19-291.pdf","35등급")</f>
        <v>35등급</v>
      </c>
      <c r="Q986" s="5" t="str">
        <f>HYPERLINK("http://www.lghausys.co.kr/popup/rn/download/downloadPopup.jsp?from=plwindow&amp;uu=/upload/window/REPORT/LGH-WA19-291.pdf","360등급")</f>
        <v>360등급</v>
      </c>
      <c r="R986" s="5" t="s">
        <v>19</v>
      </c>
      <c r="S986" s="5" t="s">
        <v>19</v>
      </c>
      <c r="T986" s="5" t="s">
        <v>19</v>
      </c>
      <c r="U986" s="5" t="s">
        <v>19</v>
      </c>
      <c r="V986" s="5" t="s">
        <v>19</v>
      </c>
      <c r="W986" s="5" t="s">
        <v>152</v>
      </c>
      <c r="X986"/>
    </row>
    <row r="987" spans="1:24">
      <c r="A987" t="s">
        <v>250</v>
      </c>
      <c r="B987" t="s">
        <v>250</v>
      </c>
      <c r="C987" t="s">
        <v>31</v>
      </c>
      <c r="D987" t="s">
        <v>68</v>
      </c>
      <c r="E987" t="s">
        <v>204</v>
      </c>
      <c r="F987" t="s">
        <v>19</v>
      </c>
      <c r="G987" t="s">
        <v>182</v>
      </c>
      <c r="H987" t="s">
        <v>68</v>
      </c>
      <c r="I987" t="s">
        <v>19</v>
      </c>
      <c r="J987" t="s">
        <v>97</v>
      </c>
      <c r="K987" s="21" t="s">
        <v>607</v>
      </c>
      <c r="L987" s="5" t="s">
        <v>19</v>
      </c>
      <c r="M987" s="5" t="s">
        <v>19</v>
      </c>
      <c r="N987" s="5" t="s">
        <v>19</v>
      </c>
      <c r="O987" s="5" t="str">
        <f>HYPERLINK("http://www.lghausys.co.kr/popup/rn/download/downloadPopup.jsp?from=plwindow&amp;uu=/upload/window/REPORT/LGH-WA19-292.pdf","1등급")</f>
        <v>1등급</v>
      </c>
      <c r="P987" s="5" t="str">
        <f>HYPERLINK("http://www.lghausys.co.kr/popup/rn/download/downloadPopup.jsp?from=plwindow&amp;uu=/upload/window/REPORT/LGH-WA19-292.pdf","50등급")</f>
        <v>50등급</v>
      </c>
      <c r="Q987" s="5" t="str">
        <f>HYPERLINK("http://www.lghausys.co.kr/popup/rn/download/downloadPopup.jsp?from=plwindow&amp;uu=/upload/window/REPORT/LGH-WA19-292.pdf","400등급")</f>
        <v>400등급</v>
      </c>
      <c r="R987" s="5" t="s">
        <v>19</v>
      </c>
      <c r="S987" s="5" t="s">
        <v>19</v>
      </c>
      <c r="T987" s="5" t="s">
        <v>19</v>
      </c>
      <c r="U987" s="5" t="s">
        <v>19</v>
      </c>
      <c r="V987" s="5" t="s">
        <v>19</v>
      </c>
      <c r="W987" s="5" t="s">
        <v>152</v>
      </c>
      <c r="X987"/>
    </row>
    <row r="988" spans="1:24">
      <c r="A988" t="s">
        <v>202</v>
      </c>
      <c r="B988" t="s">
        <v>202</v>
      </c>
      <c r="C988" t="s">
        <v>20</v>
      </c>
      <c r="D988" t="s">
        <v>235</v>
      </c>
      <c r="E988" t="s">
        <v>19</v>
      </c>
      <c r="F988" t="s">
        <v>19</v>
      </c>
      <c r="G988" t="s">
        <v>19</v>
      </c>
      <c r="H988" t="s">
        <v>19</v>
      </c>
      <c r="I988" t="s">
        <v>19</v>
      </c>
      <c r="J988" t="s">
        <v>97</v>
      </c>
      <c r="K988" s="21" t="str">
        <f>IF(X988&lt;=0.9,HYPERLINK("http://www.lxhausys.co.kr/popup/rn/download/downloadPopup.jsp?from=plwindow&amp;uu=/upload/window/REPORT/LGH-TW19-079.pdf","1등급"),IF(X988&lt;=1.2,HYPERLINK("http://www.lxhausys.co.kr/popup/rn/download/downloadPopup.jsp?from=plwindow&amp;uu=/upload/window/REPORT/LGH-TW19-079.pdf","2등급"),IF(X988&lt;=1.8,HYPERLINK("http://www.lxhausys.co.kr/popup/rn/download/downloadPopup.jsp?from=plwindow&amp;uu=/upload/window/REPORT/LGH-TW19-079.pdf","3등급"),IF(X988&lt;=2.3,HYPERLINK("http://www.lxhausys.co.kr/popup/rn/download/downloadPopup.jsp?from=plwindow&amp;uu=/upload/window/REPORT/LGH-TW19-079.pdf","4등급"),IF(X988&lt;=2.8,HYPERLINK("http://www.lxhausys.co.kr/popup/rn/download/downloadPopup.jsp?from=plwindow&amp;uu=/upload/window/REPORT/LGH-TW19-079.pdf","5등급"),HYPERLINK("http://www.lxhausys.co.kr/popup/rn/download/downloadPopup.jsp?from=plwindow&amp;uu=/upload/window/REPORT/LGH-TW19-079.pdf","등급외"))))))</f>
        <v>4등급</v>
      </c>
      <c r="L988" s="5">
        <v>2.0409999999999999</v>
      </c>
      <c r="M988" s="5" t="s">
        <v>103</v>
      </c>
      <c r="N988" s="5" t="s">
        <v>607</v>
      </c>
      <c r="O988" s="5" t="s">
        <v>19</v>
      </c>
      <c r="P988" s="5" t="s">
        <v>19</v>
      </c>
      <c r="Q988" s="5" t="s">
        <v>19</v>
      </c>
      <c r="R988" s="5" t="s">
        <v>19</v>
      </c>
      <c r="S988" s="5" t="s">
        <v>19</v>
      </c>
      <c r="T988" s="5" t="s">
        <v>19</v>
      </c>
      <c r="U988" s="5" t="s">
        <v>19</v>
      </c>
      <c r="V988" s="5" t="s">
        <v>19</v>
      </c>
      <c r="W988" s="5" t="s">
        <v>19</v>
      </c>
      <c r="X988" s="19">
        <f>L988</f>
        <v>2.0409999999999999</v>
      </c>
    </row>
    <row r="989" spans="1:24">
      <c r="A989" t="s">
        <v>202</v>
      </c>
      <c r="B989" t="s">
        <v>202</v>
      </c>
      <c r="C989" t="s">
        <v>20</v>
      </c>
      <c r="D989" t="s">
        <v>237</v>
      </c>
      <c r="E989" t="s">
        <v>19</v>
      </c>
      <c r="F989" t="s">
        <v>19</v>
      </c>
      <c r="G989" t="s">
        <v>19</v>
      </c>
      <c r="H989" t="s">
        <v>19</v>
      </c>
      <c r="I989" t="s">
        <v>19</v>
      </c>
      <c r="J989" t="s">
        <v>97</v>
      </c>
      <c r="K989" s="21" t="str">
        <f>IF(X989&lt;=0.9,HYPERLINK("http://www.lxhausys.co.kr/popup/rn/download/downloadPopup.jsp?from=plwindow&amp;uu=/upload/window/REPORT/LGH-TW19-080.pdf","1등급"),IF(X989&lt;=1.2,HYPERLINK("http://www.lxhausys.co.kr/popup/rn/download/downloadPopup.jsp?from=plwindow&amp;uu=/upload/window/REPORT/LGH-TW19-080.pdf","2등급"),IF(X989&lt;=1.8,HYPERLINK("http://www.lxhausys.co.kr/popup/rn/download/downloadPopup.jsp?from=plwindow&amp;uu=/upload/window/REPORT/LGH-TW19-080.pdf","3등급"),IF(X989&lt;=2.3,HYPERLINK("http://www.lxhausys.co.kr/popup/rn/download/downloadPopup.jsp?from=plwindow&amp;uu=/upload/window/REPORT/LGH-TW19-080.pdf","4등급"),IF(X989&lt;=2.8,HYPERLINK("http://www.lxhausys.co.kr/popup/rn/download/downloadPopup.jsp?from=plwindow&amp;uu=/upload/window/REPORT/LGH-TW19-080.pdf","5등급"),HYPERLINK("http://www.lxhausys.co.kr/popup/rn/download/downloadPopup.jsp?from=plwindow&amp;uu=/upload/window/REPORT/LGH-TW19-080.pdf","등급외"))))))</f>
        <v>4등급</v>
      </c>
      <c r="L989" s="5">
        <v>2.02</v>
      </c>
      <c r="M989" s="5" t="s">
        <v>103</v>
      </c>
      <c r="N989" s="5" t="s">
        <v>607</v>
      </c>
      <c r="O989" s="5" t="s">
        <v>19</v>
      </c>
      <c r="P989" s="5" t="s">
        <v>19</v>
      </c>
      <c r="Q989" s="5" t="s">
        <v>19</v>
      </c>
      <c r="R989" s="5" t="s">
        <v>19</v>
      </c>
      <c r="S989" s="5" t="s">
        <v>19</v>
      </c>
      <c r="T989" s="5" t="s">
        <v>19</v>
      </c>
      <c r="U989" s="5" t="s">
        <v>19</v>
      </c>
      <c r="V989" s="5" t="s">
        <v>19</v>
      </c>
      <c r="W989" s="5" t="s">
        <v>19</v>
      </c>
      <c r="X989" s="19">
        <f>L989</f>
        <v>2.02</v>
      </c>
    </row>
    <row r="990" spans="1:24">
      <c r="A990" t="s">
        <v>60</v>
      </c>
      <c r="B990" t="s">
        <v>60</v>
      </c>
      <c r="C990" t="s">
        <v>20</v>
      </c>
      <c r="D990" t="s">
        <v>237</v>
      </c>
      <c r="E990" t="s">
        <v>19</v>
      </c>
      <c r="F990" t="s">
        <v>19</v>
      </c>
      <c r="G990" t="s">
        <v>19</v>
      </c>
      <c r="H990" t="s">
        <v>68</v>
      </c>
      <c r="I990" t="s">
        <v>19</v>
      </c>
      <c r="J990" t="s">
        <v>97</v>
      </c>
      <c r="K990" s="21" t="str">
        <f>IF(X990&lt;=0.9,HYPERLINK("http://www.lxhausys.co.kr/popup/rn/download/downloadPopup.jsp?from=plwindow&amp;uu=/upload/window/REPORT/LGH-TW19-081.pdf","1등급"),IF(X990&lt;=1.2,HYPERLINK("http://www.lxhausys.co.kr/popup/rn/download/downloadPopup.jsp?from=plwindow&amp;uu=/upload/window/REPORT/LGH-TW19-081.pdf","2등급"),IF(X990&lt;=1.8,HYPERLINK("http://www.lxhausys.co.kr/popup/rn/download/downloadPopup.jsp?from=plwindow&amp;uu=/upload/window/REPORT/LGH-TW19-081.pdf","3등급"),IF(X990&lt;=2.3,HYPERLINK("http://www.lxhausys.co.kr/popup/rn/download/downloadPopup.jsp?from=plwindow&amp;uu=/upload/window/REPORT/LGH-TW19-081.pdf","4등급"),IF(X990&lt;=2.8,HYPERLINK("http://www.lxhausys.co.kr/popup/rn/download/downloadPopup.jsp?from=plwindow&amp;uu=/upload/window/REPORT/LGH-TW19-081.pdf","5등급"),HYPERLINK("http://www.lxhausys.co.kr/popup/rn/download/downloadPopup.jsp?from=plwindow&amp;uu=/upload/window/REPORT/LGH-TW19-081.pdf","등급외"))))))</f>
        <v>2등급</v>
      </c>
      <c r="L990" s="5">
        <v>0.98799999999999999</v>
      </c>
      <c r="M990" s="5" t="s">
        <v>22</v>
      </c>
      <c r="N990" s="5" t="s">
        <v>607</v>
      </c>
      <c r="O990" s="5" t="s">
        <v>19</v>
      </c>
      <c r="P990" s="5" t="s">
        <v>19</v>
      </c>
      <c r="Q990" s="5" t="s">
        <v>19</v>
      </c>
      <c r="R990" s="5" t="s">
        <v>19</v>
      </c>
      <c r="S990" s="5" t="s">
        <v>19</v>
      </c>
      <c r="T990" s="5" t="s">
        <v>19</v>
      </c>
      <c r="U990" s="5" t="s">
        <v>19</v>
      </c>
      <c r="V990" s="5" t="s">
        <v>19</v>
      </c>
      <c r="W990" s="5" t="s">
        <v>19</v>
      </c>
      <c r="X990" s="19">
        <f>L990</f>
        <v>0.98799999999999999</v>
      </c>
    </row>
    <row r="991" spans="1:24">
      <c r="A991" t="s">
        <v>61</v>
      </c>
      <c r="B991" t="s">
        <v>61</v>
      </c>
      <c r="C991" t="s">
        <v>31</v>
      </c>
      <c r="D991" t="s">
        <v>21</v>
      </c>
      <c r="E991" t="s">
        <v>19</v>
      </c>
      <c r="F991" t="s">
        <v>19</v>
      </c>
      <c r="G991" t="s">
        <v>19</v>
      </c>
      <c r="H991" t="s">
        <v>19</v>
      </c>
      <c r="I991" t="s">
        <v>19</v>
      </c>
      <c r="J991" t="s">
        <v>97</v>
      </c>
      <c r="K991" s="21" t="s">
        <v>607</v>
      </c>
      <c r="L991" s="5" t="s">
        <v>19</v>
      </c>
      <c r="M991" s="5" t="s">
        <v>19</v>
      </c>
      <c r="N991" s="5" t="s">
        <v>19</v>
      </c>
      <c r="O991" s="5" t="str">
        <f>HYPERLINK("http://www.lghausys.co.kr/popup/rn/download/downloadPopup.jsp?from=plwindow&amp;uu=/upload/window/REPORT/LGH-WA19-295.pdf","2등급")</f>
        <v>2등급</v>
      </c>
      <c r="P991" s="5" t="str">
        <f>HYPERLINK("http://www.lghausys.co.kr/popup/rn/download/downloadPopup.jsp?from=plwindow&amp;uu=/upload/window/REPORT/LGH-WA19-295.pdf","15등급")</f>
        <v>15등급</v>
      </c>
      <c r="Q991" s="5" t="s">
        <v>19</v>
      </c>
      <c r="R991" s="5" t="s">
        <v>19</v>
      </c>
      <c r="S991" s="5" t="s">
        <v>19</v>
      </c>
      <c r="T991" s="5" t="s">
        <v>19</v>
      </c>
      <c r="U991" s="5" t="s">
        <v>19</v>
      </c>
      <c r="V991" s="5" t="s">
        <v>19</v>
      </c>
      <c r="W991" s="5" t="s">
        <v>152</v>
      </c>
      <c r="X991"/>
    </row>
    <row r="992" spans="1:24">
      <c r="A992" t="s">
        <v>136</v>
      </c>
      <c r="B992" t="s">
        <v>136</v>
      </c>
      <c r="C992" t="s">
        <v>31</v>
      </c>
      <c r="D992" t="s">
        <v>21</v>
      </c>
      <c r="E992" t="s">
        <v>253</v>
      </c>
      <c r="F992" t="s">
        <v>19</v>
      </c>
      <c r="G992" t="s">
        <v>19</v>
      </c>
      <c r="H992" t="s">
        <v>19</v>
      </c>
      <c r="I992" t="s">
        <v>19</v>
      </c>
      <c r="J992" t="s">
        <v>145</v>
      </c>
      <c r="K992" s="21" t="s">
        <v>607</v>
      </c>
      <c r="L992" s="5" t="s">
        <v>19</v>
      </c>
      <c r="M992" s="5" t="s">
        <v>19</v>
      </c>
      <c r="N992" s="5" t="s">
        <v>19</v>
      </c>
      <c r="O992" s="5" t="str">
        <f>HYPERLINK("http://www.lghausys.co.kr/popup/rn/download/downloadPopup.jsp?from=plwindow&amp;uu=/upload/window/REPORT/LGH-WA19-296.pdf","2등급")</f>
        <v>2등급</v>
      </c>
      <c r="P992" s="5" t="str">
        <f>HYPERLINK("http://www.lghausys.co.kr/popup/rn/download/downloadPopup.jsp?from=plwindow&amp;uu=/upload/window/REPORT/LGH-WA19-296.pdf","15등급")</f>
        <v>15등급</v>
      </c>
      <c r="Q992" s="5" t="s">
        <v>19</v>
      </c>
      <c r="R992" s="5" t="s">
        <v>19</v>
      </c>
      <c r="S992" s="5" t="s">
        <v>19</v>
      </c>
      <c r="T992" s="5" t="s">
        <v>19</v>
      </c>
      <c r="U992" s="5" t="s">
        <v>19</v>
      </c>
      <c r="V992" s="5" t="s">
        <v>19</v>
      </c>
      <c r="W992" s="5" t="s">
        <v>152</v>
      </c>
      <c r="X992"/>
    </row>
    <row r="993" spans="1:24">
      <c r="A993" t="s">
        <v>52</v>
      </c>
      <c r="B993" t="s">
        <v>52</v>
      </c>
      <c r="C993" t="s">
        <v>31</v>
      </c>
      <c r="D993" t="s">
        <v>21</v>
      </c>
      <c r="E993" t="s">
        <v>19</v>
      </c>
      <c r="F993" t="s">
        <v>19</v>
      </c>
      <c r="G993" t="s">
        <v>19</v>
      </c>
      <c r="H993" t="s">
        <v>21</v>
      </c>
      <c r="I993" t="s">
        <v>19</v>
      </c>
      <c r="J993" t="s">
        <v>145</v>
      </c>
      <c r="K993" s="21" t="s">
        <v>607</v>
      </c>
      <c r="L993" s="5" t="s">
        <v>19</v>
      </c>
      <c r="M993" s="5" t="s">
        <v>19</v>
      </c>
      <c r="N993" s="5" t="s">
        <v>19</v>
      </c>
      <c r="O993" s="5" t="str">
        <f>HYPERLINK("http://www.lghausys.co.kr/popup/rn/download/downloadPopup.jsp?from=plwindow&amp;uu=/upload/window/REPORT/LGH-WA19-297.pdf","1등급")</f>
        <v>1등급</v>
      </c>
      <c r="P993" s="5" t="str">
        <f>HYPERLINK("http://www.lghausys.co.kr/popup/rn/download/downloadPopup.jsp?from=plwindow&amp;uu=/upload/window/REPORT/LGH-WA19-297.pdf","50등급")</f>
        <v>50등급</v>
      </c>
      <c r="Q993" s="5" t="s">
        <v>19</v>
      </c>
      <c r="R993" s="5" t="s">
        <v>19</v>
      </c>
      <c r="S993" s="5" t="s">
        <v>19</v>
      </c>
      <c r="T993" s="5" t="s">
        <v>19</v>
      </c>
      <c r="U993" s="5" t="s">
        <v>19</v>
      </c>
      <c r="V993" s="5" t="s">
        <v>19</v>
      </c>
      <c r="W993" s="5" t="s">
        <v>152</v>
      </c>
      <c r="X993"/>
    </row>
    <row r="994" spans="1:24">
      <c r="A994" t="s">
        <v>240</v>
      </c>
      <c r="B994" t="s">
        <v>240</v>
      </c>
      <c r="C994" t="s">
        <v>34</v>
      </c>
      <c r="D994" t="s">
        <v>68</v>
      </c>
      <c r="E994" t="s">
        <v>19</v>
      </c>
      <c r="F994" t="s">
        <v>68</v>
      </c>
      <c r="G994" t="s">
        <v>19</v>
      </c>
      <c r="H994" t="s">
        <v>66</v>
      </c>
      <c r="I994" t="s">
        <v>19</v>
      </c>
      <c r="J994" t="s">
        <v>74</v>
      </c>
      <c r="K994" s="21" t="s">
        <v>607</v>
      </c>
      <c r="L994" s="5" t="s">
        <v>19</v>
      </c>
      <c r="M994" s="5" t="s">
        <v>19</v>
      </c>
      <c r="N994" s="5" t="str">
        <f>HYPERLINK("http://www.lghausys.co.kr/popup/rn/download/downloadPopup.jsp?from=plwindow&amp;uu=/upload/window/REPORT/LGH-TA19-242.pdf","0.944")</f>
        <v>0.944</v>
      </c>
      <c r="O994" s="5" t="s">
        <v>19</v>
      </c>
      <c r="P994" s="5" t="s">
        <v>19</v>
      </c>
      <c r="Q994" s="5" t="s">
        <v>19</v>
      </c>
      <c r="R994" s="5" t="s">
        <v>19</v>
      </c>
      <c r="S994" s="5" t="s">
        <v>19</v>
      </c>
      <c r="T994" s="5" t="s">
        <v>19</v>
      </c>
      <c r="U994" s="5" t="s">
        <v>19</v>
      </c>
      <c r="V994" s="5" t="s">
        <v>19</v>
      </c>
      <c r="W994" s="5" t="s">
        <v>75</v>
      </c>
      <c r="X994"/>
    </row>
    <row r="995" spans="1:24">
      <c r="A995" t="s">
        <v>52</v>
      </c>
      <c r="B995" t="s">
        <v>52</v>
      </c>
      <c r="C995" t="s">
        <v>34</v>
      </c>
      <c r="D995" t="s">
        <v>21</v>
      </c>
      <c r="E995" t="s">
        <v>19</v>
      </c>
      <c r="F995" t="s">
        <v>19</v>
      </c>
      <c r="G995" t="s">
        <v>19</v>
      </c>
      <c r="H995" t="s">
        <v>21</v>
      </c>
      <c r="I995" t="s">
        <v>19</v>
      </c>
      <c r="J995" t="s">
        <v>145</v>
      </c>
      <c r="K995" s="21" t="s">
        <v>607</v>
      </c>
      <c r="L995" s="5" t="s">
        <v>19</v>
      </c>
      <c r="M995" s="5" t="s">
        <v>19</v>
      </c>
      <c r="N995" s="5" t="str">
        <f>HYPERLINK("http://www.lghausys.co.kr/popup/rn/download/downloadPopup.jsp?from=plwindow&amp;uu=/upload/window/REPORT/LGH-TA19-243.pdf","0.8059")</f>
        <v>0.8059</v>
      </c>
      <c r="O995" s="5" t="s">
        <v>19</v>
      </c>
      <c r="P995" s="5" t="s">
        <v>19</v>
      </c>
      <c r="Q995" s="5" t="s">
        <v>19</v>
      </c>
      <c r="R995" s="5" t="s">
        <v>19</v>
      </c>
      <c r="S995" s="5" t="s">
        <v>19</v>
      </c>
      <c r="T995" s="5" t="s">
        <v>19</v>
      </c>
      <c r="U995" s="5" t="s">
        <v>19</v>
      </c>
      <c r="V995" s="5" t="s">
        <v>19</v>
      </c>
      <c r="W995" s="5" t="s">
        <v>75</v>
      </c>
      <c r="X995"/>
    </row>
    <row r="996" spans="1:24">
      <c r="A996" t="s">
        <v>61</v>
      </c>
      <c r="B996" t="s">
        <v>61</v>
      </c>
      <c r="C996" t="s">
        <v>34</v>
      </c>
      <c r="D996" t="s">
        <v>21</v>
      </c>
      <c r="E996" t="s">
        <v>19</v>
      </c>
      <c r="F996" t="s">
        <v>19</v>
      </c>
      <c r="G996" t="s">
        <v>19</v>
      </c>
      <c r="H996" t="s">
        <v>19</v>
      </c>
      <c r="I996" t="s">
        <v>19</v>
      </c>
      <c r="J996" t="s">
        <v>97</v>
      </c>
      <c r="K996" s="21" t="s">
        <v>607</v>
      </c>
      <c r="L996" s="5" t="s">
        <v>19</v>
      </c>
      <c r="M996" s="5" t="s">
        <v>19</v>
      </c>
      <c r="N996" s="5" t="str">
        <f>HYPERLINK("http://www.lghausys.co.kr/popup/rn/download/downloadPopup.jsp?from=plwindow&amp;uu=/upload/window/REPORT/LGH-TA19-245.pdf","1.938")</f>
        <v>1.938</v>
      </c>
      <c r="O996" s="5" t="s">
        <v>19</v>
      </c>
      <c r="P996" s="5" t="s">
        <v>19</v>
      </c>
      <c r="Q996" s="5" t="s">
        <v>19</v>
      </c>
      <c r="R996" s="5" t="s">
        <v>19</v>
      </c>
      <c r="S996" s="5" t="s">
        <v>19</v>
      </c>
      <c r="T996" s="5" t="s">
        <v>19</v>
      </c>
      <c r="U996" s="5" t="s">
        <v>19</v>
      </c>
      <c r="V996" s="5" t="s">
        <v>19</v>
      </c>
      <c r="W996" s="5" t="s">
        <v>75</v>
      </c>
      <c r="X996"/>
    </row>
    <row r="997" spans="1:24">
      <c r="A997" t="s">
        <v>136</v>
      </c>
      <c r="B997" t="s">
        <v>136</v>
      </c>
      <c r="C997" t="s">
        <v>34</v>
      </c>
      <c r="D997" t="s">
        <v>21</v>
      </c>
      <c r="E997" t="s">
        <v>253</v>
      </c>
      <c r="F997" t="s">
        <v>19</v>
      </c>
      <c r="G997" t="s">
        <v>19</v>
      </c>
      <c r="H997" t="s">
        <v>19</v>
      </c>
      <c r="I997" t="s">
        <v>19</v>
      </c>
      <c r="J997" t="s">
        <v>145</v>
      </c>
      <c r="K997" s="21" t="s">
        <v>607</v>
      </c>
      <c r="L997" s="5" t="s">
        <v>19</v>
      </c>
      <c r="M997" s="5" t="s">
        <v>19</v>
      </c>
      <c r="N997" s="5" t="str">
        <f>HYPERLINK("http://www.lghausys.co.kr/popup/rn/download/downloadPopup.jsp?from=plwindow&amp;uu=/upload/window/REPORT/LGH-TA19-248.pdf","1.919")</f>
        <v>1.919</v>
      </c>
      <c r="O997" s="5" t="s">
        <v>19</v>
      </c>
      <c r="P997" s="5" t="s">
        <v>19</v>
      </c>
      <c r="Q997" s="5" t="s">
        <v>19</v>
      </c>
      <c r="R997" s="5" t="s">
        <v>19</v>
      </c>
      <c r="S997" s="5" t="s">
        <v>19</v>
      </c>
      <c r="T997" s="5" t="s">
        <v>19</v>
      </c>
      <c r="U997" s="5" t="s">
        <v>19</v>
      </c>
      <c r="V997" s="5" t="s">
        <v>19</v>
      </c>
      <c r="W997" s="5" t="s">
        <v>75</v>
      </c>
      <c r="X997"/>
    </row>
    <row r="998" spans="1:24">
      <c r="A998" t="s">
        <v>250</v>
      </c>
      <c r="B998" t="s">
        <v>250</v>
      </c>
      <c r="C998" t="s">
        <v>14</v>
      </c>
      <c r="D998" t="s">
        <v>251</v>
      </c>
      <c r="E998" t="s">
        <v>19</v>
      </c>
      <c r="F998" t="s">
        <v>68</v>
      </c>
      <c r="G998" t="s">
        <v>182</v>
      </c>
      <c r="H998" t="s">
        <v>66</v>
      </c>
      <c r="I998" t="s">
        <v>19</v>
      </c>
      <c r="J998" t="s">
        <v>145</v>
      </c>
      <c r="K998" s="21" t="s">
        <v>607</v>
      </c>
      <c r="L998" s="5" t="s">
        <v>19</v>
      </c>
      <c r="M998" s="5" t="s">
        <v>19</v>
      </c>
      <c r="N998" s="5" t="s">
        <v>19</v>
      </c>
      <c r="O998" s="5" t="s">
        <v>19</v>
      </c>
      <c r="P998" s="5" t="s">
        <v>19</v>
      </c>
      <c r="Q998" s="5" t="s">
        <v>19</v>
      </c>
      <c r="R998" s="5" t="s">
        <v>19</v>
      </c>
      <c r="S998" s="5" t="s">
        <v>19</v>
      </c>
      <c r="T998" s="5" t="str">
        <f>HYPERLINK("http://www.lghausys.co.kr/popup/rn/download/downloadPopup.jsp?from=plwindow&amp;uu=/upload/window/REPORT/LGH-DA19-041.pdf","결로발생없음")</f>
        <v>결로발생없음</v>
      </c>
      <c r="U998" s="5" t="s">
        <v>19</v>
      </c>
      <c r="V998" s="5" t="s">
        <v>19</v>
      </c>
      <c r="W998" s="5" t="s">
        <v>75</v>
      </c>
      <c r="X998"/>
    </row>
    <row r="999" spans="1:24">
      <c r="A999" t="s">
        <v>250</v>
      </c>
      <c r="B999" t="s">
        <v>250</v>
      </c>
      <c r="C999" t="s">
        <v>20</v>
      </c>
      <c r="D999" t="s">
        <v>68</v>
      </c>
      <c r="E999" t="s">
        <v>204</v>
      </c>
      <c r="F999" t="s">
        <v>19</v>
      </c>
      <c r="G999" t="s">
        <v>182</v>
      </c>
      <c r="H999" t="s">
        <v>235</v>
      </c>
      <c r="I999" t="s">
        <v>19</v>
      </c>
      <c r="J999" t="s">
        <v>97</v>
      </c>
      <c r="K999" s="21" t="str">
        <f>IF(X999&lt;=0.9,HYPERLINK("http://www.lxhausys.co.kr/popup/rn/download/downloadPopup.jsp?from=plwindow&amp;uu=/upload/window/REPORT/LGH-TW19-082.pdf","1등급"),IF(X999&lt;=1.2,HYPERLINK("http://www.lxhausys.co.kr/popup/rn/download/downloadPopup.jsp?from=plwindow&amp;uu=/upload/window/REPORT/LGH-TW19-082.pdf","2등급"),IF(X999&lt;=1.8,HYPERLINK("http://www.lxhausys.co.kr/popup/rn/download/downloadPopup.jsp?from=plwindow&amp;uu=/upload/window/REPORT/LGH-TW19-082.pdf","3등급"),IF(X999&lt;=2.3,HYPERLINK("http://www.lxhausys.co.kr/popup/rn/download/downloadPopup.jsp?from=plwindow&amp;uu=/upload/window/REPORT/LGH-TW19-082.pdf","4등급"),IF(X999&lt;=2.8,HYPERLINK("http://www.lxhausys.co.kr/popup/rn/download/downloadPopup.jsp?from=plwindow&amp;uu=/upload/window/REPORT/LGH-TW19-082.pdf","5등급"),HYPERLINK("http://www.lxhausys.co.kr/popup/rn/download/downloadPopup.jsp?from=plwindow&amp;uu=/upload/window/REPORT/LGH-TW19-082.pdf","등급외"))))))</f>
        <v>2등급</v>
      </c>
      <c r="L999" s="5">
        <v>0.92200000000000004</v>
      </c>
      <c r="M999" s="5" t="s">
        <v>19</v>
      </c>
      <c r="N999" s="5" t="s">
        <v>607</v>
      </c>
      <c r="O999" s="5" t="s">
        <v>19</v>
      </c>
      <c r="P999" s="5" t="s">
        <v>19</v>
      </c>
      <c r="Q999" s="5" t="s">
        <v>19</v>
      </c>
      <c r="R999" s="5" t="s">
        <v>19</v>
      </c>
      <c r="S999" s="5" t="s">
        <v>19</v>
      </c>
      <c r="T999" s="5" t="s">
        <v>19</v>
      </c>
      <c r="U999" s="5" t="s">
        <v>19</v>
      </c>
      <c r="V999" s="5" t="s">
        <v>19</v>
      </c>
      <c r="W999" s="5" t="s">
        <v>19</v>
      </c>
      <c r="X999" s="19">
        <f t="shared" ref="X999:X1007" si="11">L999</f>
        <v>0.92200000000000004</v>
      </c>
    </row>
    <row r="1000" spans="1:24">
      <c r="A1000" t="s">
        <v>252</v>
      </c>
      <c r="B1000" t="s">
        <v>252</v>
      </c>
      <c r="C1000" t="s">
        <v>20</v>
      </c>
      <c r="D1000" t="s">
        <v>235</v>
      </c>
      <c r="E1000" t="s">
        <v>254</v>
      </c>
      <c r="F1000" t="s">
        <v>19</v>
      </c>
      <c r="G1000" t="s">
        <v>182</v>
      </c>
      <c r="H1000" t="s">
        <v>19</v>
      </c>
      <c r="I1000" t="s">
        <v>19</v>
      </c>
      <c r="J1000" t="s">
        <v>97</v>
      </c>
      <c r="K1000" s="21" t="str">
        <f>IF(X1000&lt;=0.9,HYPERLINK("http://www.lxhausys.co.kr/popup/rn/download/downloadPopup.jsp?from=plwindow&amp;uu=/upload/window/REPORT/LGH-TW19-083.pdf","1등급"),IF(X1000&lt;=1.2,HYPERLINK("http://www.lxhausys.co.kr/popup/rn/download/downloadPopup.jsp?from=plwindow&amp;uu=/upload/window/REPORT/LGH-TW19-083.pdf","2등급"),IF(X1000&lt;=1.8,HYPERLINK("http://www.lxhausys.co.kr/popup/rn/download/downloadPopup.jsp?from=plwindow&amp;uu=/upload/window/REPORT/LGH-TW19-083.pdf","3등급"),IF(X1000&lt;=2.3,HYPERLINK("http://www.lxhausys.co.kr/popup/rn/download/downloadPopup.jsp?from=plwindow&amp;uu=/upload/window/REPORT/LGH-TW19-083.pdf","4등급"),IF(X1000&lt;=2.8,HYPERLINK("http://www.lxhausys.co.kr/popup/rn/download/downloadPopup.jsp?from=plwindow&amp;uu=/upload/window/REPORT/LGH-TW19-083.pdf","5등급"),HYPERLINK("http://www.lxhausys.co.kr/popup/rn/download/downloadPopup.jsp?from=plwindow&amp;uu=/upload/window/REPORT/LGH-TW19-083.pdf","등급외"))))))</f>
        <v>4등급</v>
      </c>
      <c r="L1000" s="5">
        <v>2.012</v>
      </c>
      <c r="M1000" s="5" t="s">
        <v>103</v>
      </c>
      <c r="N1000" s="5" t="s">
        <v>607</v>
      </c>
      <c r="O1000" s="5" t="s">
        <v>19</v>
      </c>
      <c r="P1000" s="5" t="s">
        <v>19</v>
      </c>
      <c r="Q1000" s="5" t="s">
        <v>19</v>
      </c>
      <c r="R1000" s="5" t="s">
        <v>19</v>
      </c>
      <c r="S1000" s="5" t="s">
        <v>19</v>
      </c>
      <c r="T1000" s="5" t="s">
        <v>19</v>
      </c>
      <c r="U1000" s="5" t="s">
        <v>19</v>
      </c>
      <c r="V1000" s="5" t="s">
        <v>19</v>
      </c>
      <c r="W1000" s="5" t="s">
        <v>19</v>
      </c>
      <c r="X1000" s="19">
        <f t="shared" si="11"/>
        <v>2.012</v>
      </c>
    </row>
    <row r="1001" spans="1:24">
      <c r="A1001" t="s">
        <v>127</v>
      </c>
      <c r="B1001" t="s">
        <v>127</v>
      </c>
      <c r="C1001" t="s">
        <v>20</v>
      </c>
      <c r="D1001" t="s">
        <v>68</v>
      </c>
      <c r="E1001" t="s">
        <v>204</v>
      </c>
      <c r="F1001" t="s">
        <v>19</v>
      </c>
      <c r="G1001" t="s">
        <v>182</v>
      </c>
      <c r="H1001" t="s">
        <v>19</v>
      </c>
      <c r="I1001" t="s">
        <v>19</v>
      </c>
      <c r="J1001" t="s">
        <v>97</v>
      </c>
      <c r="K1001" s="21" t="str">
        <f>IF(X1001&lt;=0.9,HYPERLINK("http://www.lxhausys.co.kr/popup/rn/download/downloadPopup.jsp?from=plwindow&amp;uu=/upload/window/REPORT/LGH-TW19-084.pdf","1등급"),IF(X1001&lt;=1.2,HYPERLINK("http://www.lxhausys.co.kr/popup/rn/download/downloadPopup.jsp?from=plwindow&amp;uu=/upload/window/REPORT/LGH-TW19-084.pdf","2등급"),IF(X1001&lt;=1.8,HYPERLINK("http://www.lxhausys.co.kr/popup/rn/download/downloadPopup.jsp?from=plwindow&amp;uu=/upload/window/REPORT/LGH-TW19-084.pdf","3등급"),IF(X1001&lt;=2.3,HYPERLINK("http://www.lxhausys.co.kr/popup/rn/download/downloadPopup.jsp?from=plwindow&amp;uu=/upload/window/REPORT/LGH-TW19-084.pdf","4등급"),IF(X1001&lt;=2.8,HYPERLINK("http://www.lxhausys.co.kr/popup/rn/download/downloadPopup.jsp?from=plwindow&amp;uu=/upload/window/REPORT/LGH-TW19-084.pdf","5등급"),HYPERLINK("http://www.lxhausys.co.kr/popup/rn/download/downloadPopup.jsp?from=plwindow&amp;uu=/upload/window/REPORT/LGH-TW19-084.pdf","등급외"))))))</f>
        <v>5등급</v>
      </c>
      <c r="L1001" s="5">
        <v>2.778</v>
      </c>
      <c r="M1001" s="5" t="s">
        <v>103</v>
      </c>
      <c r="N1001" s="5" t="s">
        <v>607</v>
      </c>
      <c r="O1001" s="5" t="s">
        <v>19</v>
      </c>
      <c r="P1001" s="5" t="s">
        <v>19</v>
      </c>
      <c r="Q1001" s="5" t="s">
        <v>19</v>
      </c>
      <c r="R1001" s="5" t="s">
        <v>19</v>
      </c>
      <c r="S1001" s="5" t="s">
        <v>19</v>
      </c>
      <c r="T1001" s="5" t="s">
        <v>19</v>
      </c>
      <c r="U1001" s="5" t="s">
        <v>19</v>
      </c>
      <c r="V1001" s="5" t="s">
        <v>19</v>
      </c>
      <c r="W1001" s="5" t="s">
        <v>19</v>
      </c>
      <c r="X1001" s="19">
        <f t="shared" si="11"/>
        <v>2.778</v>
      </c>
    </row>
    <row r="1002" spans="1:24">
      <c r="A1002" t="s">
        <v>125</v>
      </c>
      <c r="B1002" t="s">
        <v>125</v>
      </c>
      <c r="C1002" t="s">
        <v>20</v>
      </c>
      <c r="D1002" t="s">
        <v>241</v>
      </c>
      <c r="E1002" t="s">
        <v>19</v>
      </c>
      <c r="F1002" t="s">
        <v>19</v>
      </c>
      <c r="G1002" t="s">
        <v>19</v>
      </c>
      <c r="H1002" t="s">
        <v>19</v>
      </c>
      <c r="I1002" t="s">
        <v>19</v>
      </c>
      <c r="J1002" t="s">
        <v>74</v>
      </c>
      <c r="K1002" s="21" t="str">
        <f>IF(X1002&lt;=0.9,HYPERLINK("http://www.lxhausys.co.kr/popup/rn/download/downloadPopup.jsp?from=plwindow&amp;uu=/upload/window/REPORT/LGH-TW19-085.pdf","1등급"),IF(X1002&lt;=1.2,HYPERLINK("http://www.lxhausys.co.kr/popup/rn/download/downloadPopup.jsp?from=plwindow&amp;uu=/upload/window/REPORT/LGH-TW19-085.pdf","2등급"),IF(X1002&lt;=1.8,HYPERLINK("http://www.lxhausys.co.kr/popup/rn/download/downloadPopup.jsp?from=plwindow&amp;uu=/upload/window/REPORT/LGH-TW19-085.pdf","3등급"),IF(X1002&lt;=2.3,HYPERLINK("http://www.lxhausys.co.kr/popup/rn/download/downloadPopup.jsp?from=plwindow&amp;uu=/upload/window/REPORT/LGH-TW19-085.pdf","4등급"),IF(X1002&lt;=2.8,HYPERLINK("http://www.lxhausys.co.kr/popup/rn/download/downloadPopup.jsp?from=plwindow&amp;uu=/upload/window/REPORT/LGH-TW19-085.pdf","5등급"),HYPERLINK("http://www.lxhausys.co.kr/popup/rn/download/downloadPopup.jsp?from=plwindow&amp;uu=/upload/window/REPORT/LGH-TW19-085.pdf","등급외"))))))</f>
        <v>4등급</v>
      </c>
      <c r="L1002" s="5">
        <v>1.9419999999999999</v>
      </c>
      <c r="M1002" s="5" t="s">
        <v>103</v>
      </c>
      <c r="N1002" s="5" t="s">
        <v>607</v>
      </c>
      <c r="O1002" s="5" t="s">
        <v>19</v>
      </c>
      <c r="P1002" s="5" t="s">
        <v>19</v>
      </c>
      <c r="Q1002" s="5" t="s">
        <v>19</v>
      </c>
      <c r="R1002" s="5" t="s">
        <v>19</v>
      </c>
      <c r="S1002" s="5" t="s">
        <v>19</v>
      </c>
      <c r="T1002" s="5" t="s">
        <v>19</v>
      </c>
      <c r="U1002" s="5" t="s">
        <v>19</v>
      </c>
      <c r="V1002" s="5" t="s">
        <v>19</v>
      </c>
      <c r="W1002" s="5" t="s">
        <v>19</v>
      </c>
      <c r="X1002" s="19">
        <f t="shared" si="11"/>
        <v>1.9419999999999999</v>
      </c>
    </row>
    <row r="1003" spans="1:24">
      <c r="A1003" t="s">
        <v>125</v>
      </c>
      <c r="B1003" t="s">
        <v>125</v>
      </c>
      <c r="C1003" t="s">
        <v>20</v>
      </c>
      <c r="D1003" t="s">
        <v>235</v>
      </c>
      <c r="E1003" t="s">
        <v>19</v>
      </c>
      <c r="F1003" t="s">
        <v>19</v>
      </c>
      <c r="G1003" t="s">
        <v>19</v>
      </c>
      <c r="H1003" t="s">
        <v>19</v>
      </c>
      <c r="I1003" t="s">
        <v>19</v>
      </c>
      <c r="J1003" t="s">
        <v>74</v>
      </c>
      <c r="K1003" s="21" t="str">
        <f>IF(X1003&lt;=0.9,HYPERLINK("http://www.lxhausys.co.kr/popup/rn/download/downloadPopup.jsp?from=plwindow&amp;uu=/upload/window/REPORT/LGH-TW19-086.pdf","1등급"),IF(X1003&lt;=1.2,HYPERLINK("http://www.lxhausys.co.kr/popup/rn/download/downloadPopup.jsp?from=plwindow&amp;uu=/upload/window/REPORT/LGH-TW19-086.pdf","2등급"),IF(X1003&lt;=1.8,HYPERLINK("http://www.lxhausys.co.kr/popup/rn/download/downloadPopup.jsp?from=plwindow&amp;uu=/upload/window/REPORT/LGH-TW19-086.pdf","3등급"),IF(X1003&lt;=2.3,HYPERLINK("http://www.lxhausys.co.kr/popup/rn/download/downloadPopup.jsp?from=plwindow&amp;uu=/upload/window/REPORT/LGH-TW19-086.pdf","4등급"),IF(X1003&lt;=2.8,HYPERLINK("http://www.lxhausys.co.kr/popup/rn/download/downloadPopup.jsp?from=plwindow&amp;uu=/upload/window/REPORT/LGH-TW19-086.pdf","5등급"),HYPERLINK("http://www.lxhausys.co.kr/popup/rn/download/downloadPopup.jsp?from=plwindow&amp;uu=/upload/window/REPORT/LGH-TW19-086.pdf","등급외"))))))</f>
        <v>4등급</v>
      </c>
      <c r="L1003" s="5">
        <v>1.873</v>
      </c>
      <c r="M1003" s="5" t="s">
        <v>103</v>
      </c>
      <c r="N1003" s="5" t="s">
        <v>607</v>
      </c>
      <c r="O1003" s="5" t="s">
        <v>19</v>
      </c>
      <c r="P1003" s="5" t="s">
        <v>19</v>
      </c>
      <c r="Q1003" s="5" t="s">
        <v>19</v>
      </c>
      <c r="R1003" s="5" t="s">
        <v>19</v>
      </c>
      <c r="S1003" s="5" t="s">
        <v>19</v>
      </c>
      <c r="T1003" s="5" t="s">
        <v>19</v>
      </c>
      <c r="U1003" s="5" t="s">
        <v>19</v>
      </c>
      <c r="V1003" s="5" t="s">
        <v>19</v>
      </c>
      <c r="W1003" s="5" t="s">
        <v>19</v>
      </c>
      <c r="X1003" s="19">
        <f t="shared" si="11"/>
        <v>1.873</v>
      </c>
    </row>
    <row r="1004" spans="1:24">
      <c r="A1004" t="s">
        <v>52</v>
      </c>
      <c r="B1004" t="s">
        <v>52</v>
      </c>
      <c r="C1004" t="s">
        <v>20</v>
      </c>
      <c r="D1004" t="s">
        <v>241</v>
      </c>
      <c r="E1004" t="s">
        <v>19</v>
      </c>
      <c r="F1004" t="s">
        <v>19</v>
      </c>
      <c r="G1004" t="s">
        <v>19</v>
      </c>
      <c r="H1004" t="s">
        <v>241</v>
      </c>
      <c r="I1004" t="s">
        <v>19</v>
      </c>
      <c r="J1004" t="s">
        <v>74</v>
      </c>
      <c r="K1004" s="21" t="str">
        <f>IF(X1004&lt;=0.9,HYPERLINK("http://www.lxhausys.co.kr/popup/rn/download/downloadPopup.jsp?from=plwindow&amp;uu=/upload/window/REPORT/LGH-TW19-087.pdf","1등급"),IF(X1004&lt;=1.2,HYPERLINK("http://www.lxhausys.co.kr/popup/rn/download/downloadPopup.jsp?from=plwindow&amp;uu=/upload/window/REPORT/LGH-TW19-087.pdf","2등급"),IF(X1004&lt;=1.8,HYPERLINK("http://www.lxhausys.co.kr/popup/rn/download/downloadPopup.jsp?from=plwindow&amp;uu=/upload/window/REPORT/LGH-TW19-087.pdf","3등급"),IF(X1004&lt;=2.3,HYPERLINK("http://www.lxhausys.co.kr/popup/rn/download/downloadPopup.jsp?from=plwindow&amp;uu=/upload/window/REPORT/LGH-TW19-087.pdf","4등급"),IF(X1004&lt;=2.8,HYPERLINK("http://www.lxhausys.co.kr/popup/rn/download/downloadPopup.jsp?from=plwindow&amp;uu=/upload/window/REPORT/LGH-TW19-087.pdf","5등급"),HYPERLINK("http://www.lxhausys.co.kr/popup/rn/download/downloadPopup.jsp?from=plwindow&amp;uu=/upload/window/REPORT/LGH-TW19-087.pdf","등급외"))))))</f>
        <v>1등급</v>
      </c>
      <c r="L1004" s="5">
        <v>0.83400000000000007</v>
      </c>
      <c r="M1004" s="5" t="s">
        <v>22</v>
      </c>
      <c r="N1004" s="5" t="s">
        <v>607</v>
      </c>
      <c r="O1004" s="5" t="s">
        <v>19</v>
      </c>
      <c r="P1004" s="5" t="s">
        <v>19</v>
      </c>
      <c r="Q1004" s="5" t="s">
        <v>19</v>
      </c>
      <c r="R1004" s="5" t="s">
        <v>19</v>
      </c>
      <c r="S1004" s="5" t="s">
        <v>19</v>
      </c>
      <c r="T1004" s="5" t="s">
        <v>19</v>
      </c>
      <c r="U1004" s="5" t="s">
        <v>19</v>
      </c>
      <c r="V1004" s="5" t="s">
        <v>19</v>
      </c>
      <c r="W1004" s="5" t="s">
        <v>19</v>
      </c>
      <c r="X1004" s="19">
        <f t="shared" si="11"/>
        <v>0.83400000000000007</v>
      </c>
    </row>
    <row r="1005" spans="1:24">
      <c r="A1005" t="s">
        <v>175</v>
      </c>
      <c r="B1005" t="s">
        <v>175</v>
      </c>
      <c r="C1005" t="s">
        <v>20</v>
      </c>
      <c r="D1005" t="s">
        <v>241</v>
      </c>
      <c r="E1005" t="s">
        <v>19</v>
      </c>
      <c r="F1005" t="s">
        <v>19</v>
      </c>
      <c r="G1005" t="s">
        <v>19</v>
      </c>
      <c r="H1005" t="s">
        <v>241</v>
      </c>
      <c r="I1005" t="s">
        <v>19</v>
      </c>
      <c r="J1005" t="s">
        <v>74</v>
      </c>
      <c r="K1005" s="21" t="str">
        <f>IF(X1005&lt;=0.9,HYPERLINK("http://www.lxhausys.co.kr/popup/rn/download/downloadPopup.jsp?from=plwindow&amp;uu=/upload/window/REPORT/LGH-TW19-088.pdf","1등급"),IF(X1005&lt;=1.2,HYPERLINK("http://www.lxhausys.co.kr/popup/rn/download/downloadPopup.jsp?from=plwindow&amp;uu=/upload/window/REPORT/LGH-TW19-088.pdf","2등급"),IF(X1005&lt;=1.8,HYPERLINK("http://www.lxhausys.co.kr/popup/rn/download/downloadPopup.jsp?from=plwindow&amp;uu=/upload/window/REPORT/LGH-TW19-088.pdf","3등급"),IF(X1005&lt;=2.3,HYPERLINK("http://www.lxhausys.co.kr/popup/rn/download/downloadPopup.jsp?from=plwindow&amp;uu=/upload/window/REPORT/LGH-TW19-088.pdf","4등급"),IF(X1005&lt;=2.8,HYPERLINK("http://www.lxhausys.co.kr/popup/rn/download/downloadPopup.jsp?from=plwindow&amp;uu=/upload/window/REPORT/LGH-TW19-088.pdf","5등급"),HYPERLINK("http://www.lxhausys.co.kr/popup/rn/download/downloadPopup.jsp?from=plwindow&amp;uu=/upload/window/REPORT/LGH-TW19-088.pdf","등급외"))))))</f>
        <v>1등급</v>
      </c>
      <c r="L1005" s="5">
        <v>0.85299999999999998</v>
      </c>
      <c r="M1005" s="5" t="s">
        <v>22</v>
      </c>
      <c r="N1005" s="5" t="s">
        <v>607</v>
      </c>
      <c r="O1005" s="5" t="s">
        <v>19</v>
      </c>
      <c r="P1005" s="5" t="s">
        <v>19</v>
      </c>
      <c r="Q1005" s="5" t="s">
        <v>19</v>
      </c>
      <c r="R1005" s="5" t="s">
        <v>19</v>
      </c>
      <c r="S1005" s="5" t="s">
        <v>19</v>
      </c>
      <c r="T1005" s="5" t="s">
        <v>19</v>
      </c>
      <c r="U1005" s="5" t="s">
        <v>19</v>
      </c>
      <c r="V1005" s="5" t="s">
        <v>19</v>
      </c>
      <c r="W1005" s="5" t="s">
        <v>19</v>
      </c>
      <c r="X1005" s="19">
        <f t="shared" si="11"/>
        <v>0.85299999999999998</v>
      </c>
    </row>
    <row r="1006" spans="1:24">
      <c r="A1006" t="s">
        <v>175</v>
      </c>
      <c r="B1006" t="s">
        <v>175</v>
      </c>
      <c r="C1006" t="s">
        <v>20</v>
      </c>
      <c r="D1006" t="s">
        <v>68</v>
      </c>
      <c r="E1006" t="s">
        <v>19</v>
      </c>
      <c r="F1006" t="s">
        <v>19</v>
      </c>
      <c r="G1006" t="s">
        <v>19</v>
      </c>
      <c r="H1006" t="s">
        <v>235</v>
      </c>
      <c r="I1006" t="s">
        <v>19</v>
      </c>
      <c r="J1006" t="s">
        <v>74</v>
      </c>
      <c r="K1006" s="21" t="str">
        <f>IF(X1006&lt;=0.9,HYPERLINK("http://www.lxhausys.co.kr/popup/rn/download/downloadPopup.jsp?from=plwindow&amp;uu=/upload/window/REPORT/LGH-TW19-089.pdf","1등급"),IF(X1006&lt;=1.2,HYPERLINK("http://www.lxhausys.co.kr/popup/rn/download/downloadPopup.jsp?from=plwindow&amp;uu=/upload/window/REPORT/LGH-TW19-089.pdf","2등급"),IF(X1006&lt;=1.8,HYPERLINK("http://www.lxhausys.co.kr/popup/rn/download/downloadPopup.jsp?from=plwindow&amp;uu=/upload/window/REPORT/LGH-TW19-089.pdf","3등급"),IF(X1006&lt;=2.3,HYPERLINK("http://www.lxhausys.co.kr/popup/rn/download/downloadPopup.jsp?from=plwindow&amp;uu=/upload/window/REPORT/LGH-TW19-089.pdf","4등급"),IF(X1006&lt;=2.8,HYPERLINK("http://www.lxhausys.co.kr/popup/rn/download/downloadPopup.jsp?from=plwindow&amp;uu=/upload/window/REPORT/LGH-TW19-089.pdf","5등급"),HYPERLINK("http://www.lxhausys.co.kr/popup/rn/download/downloadPopup.jsp?from=plwindow&amp;uu=/upload/window/REPORT/LGH-TW19-089.pdf","등급외"))))))</f>
        <v>2등급</v>
      </c>
      <c r="L1006" s="5">
        <v>0.99299999999999999</v>
      </c>
      <c r="M1006" s="5" t="s">
        <v>22</v>
      </c>
      <c r="N1006" s="5" t="s">
        <v>607</v>
      </c>
      <c r="O1006" s="5" t="s">
        <v>19</v>
      </c>
      <c r="P1006" s="5" t="s">
        <v>19</v>
      </c>
      <c r="Q1006" s="5" t="s">
        <v>19</v>
      </c>
      <c r="R1006" s="5" t="s">
        <v>19</v>
      </c>
      <c r="S1006" s="5" t="s">
        <v>19</v>
      </c>
      <c r="T1006" s="5" t="s">
        <v>19</v>
      </c>
      <c r="U1006" s="5" t="s">
        <v>19</v>
      </c>
      <c r="V1006" s="5" t="s">
        <v>19</v>
      </c>
      <c r="W1006" s="5" t="s">
        <v>19</v>
      </c>
      <c r="X1006" s="19">
        <f t="shared" si="11"/>
        <v>0.99299999999999999</v>
      </c>
    </row>
    <row r="1007" spans="1:24">
      <c r="A1007" t="s">
        <v>60</v>
      </c>
      <c r="B1007" t="s">
        <v>60</v>
      </c>
      <c r="C1007" t="s">
        <v>20</v>
      </c>
      <c r="D1007" t="s">
        <v>68</v>
      </c>
      <c r="E1007" t="s">
        <v>19</v>
      </c>
      <c r="F1007" t="s">
        <v>19</v>
      </c>
      <c r="G1007" t="s">
        <v>19</v>
      </c>
      <c r="H1007" t="s">
        <v>235</v>
      </c>
      <c r="I1007" t="s">
        <v>19</v>
      </c>
      <c r="J1007" t="s">
        <v>74</v>
      </c>
      <c r="K1007" s="21" t="str">
        <f>IF(X1007&lt;=0.9,HYPERLINK("http://www.lxhausys.co.kr/popup/rn/download/downloadPopup.jsp?from=plwindow&amp;uu=/upload/window/REPORT/LGH-TW19-090.pdf","1등급"),IF(X1007&lt;=1.2,HYPERLINK("http://www.lxhausys.co.kr/popup/rn/download/downloadPopup.jsp?from=plwindow&amp;uu=/upload/window/REPORT/LGH-TW19-090.pdf","2등급"),IF(X1007&lt;=1.8,HYPERLINK("http://www.lxhausys.co.kr/popup/rn/download/downloadPopup.jsp?from=plwindow&amp;uu=/upload/window/REPORT/LGH-TW19-090.pdf","3등급"),IF(X1007&lt;=2.3,HYPERLINK("http://www.lxhausys.co.kr/popup/rn/download/downloadPopup.jsp?from=plwindow&amp;uu=/upload/window/REPORT/LGH-TW19-090.pdf","4등급"),IF(X1007&lt;=2.8,HYPERLINK("http://www.lxhausys.co.kr/popup/rn/download/downloadPopup.jsp?from=plwindow&amp;uu=/upload/window/REPORT/LGH-TW19-090.pdf","5등급"),HYPERLINK("http://www.lxhausys.co.kr/popup/rn/download/downloadPopup.jsp?from=plwindow&amp;uu=/upload/window/REPORT/LGH-TW19-090.pdf","등급외"))))))</f>
        <v>2등급</v>
      </c>
      <c r="L1007" s="5">
        <v>0.998</v>
      </c>
      <c r="M1007" s="5" t="s">
        <v>22</v>
      </c>
      <c r="N1007" s="5" t="s">
        <v>607</v>
      </c>
      <c r="O1007" s="5" t="s">
        <v>19</v>
      </c>
      <c r="P1007" s="5" t="s">
        <v>19</v>
      </c>
      <c r="Q1007" s="5" t="s">
        <v>19</v>
      </c>
      <c r="R1007" s="5" t="s">
        <v>19</v>
      </c>
      <c r="S1007" s="5" t="s">
        <v>19</v>
      </c>
      <c r="T1007" s="5" t="s">
        <v>19</v>
      </c>
      <c r="U1007" s="5" t="s">
        <v>19</v>
      </c>
      <c r="V1007" s="5" t="s">
        <v>19</v>
      </c>
      <c r="W1007" s="5" t="s">
        <v>19</v>
      </c>
      <c r="X1007" s="19">
        <f t="shared" si="11"/>
        <v>0.998</v>
      </c>
    </row>
    <row r="1008" spans="1:24">
      <c r="A1008" t="s">
        <v>73</v>
      </c>
      <c r="B1008" t="s">
        <v>73</v>
      </c>
      <c r="C1008" t="s">
        <v>14</v>
      </c>
      <c r="D1008" t="s">
        <v>28</v>
      </c>
      <c r="E1008" t="s">
        <v>19</v>
      </c>
      <c r="F1008" t="s">
        <v>19</v>
      </c>
      <c r="G1008" t="s">
        <v>19</v>
      </c>
      <c r="H1008" t="s">
        <v>28</v>
      </c>
      <c r="I1008" t="s">
        <v>19</v>
      </c>
      <c r="J1008" t="s">
        <v>255</v>
      </c>
      <c r="K1008" s="21" t="s">
        <v>607</v>
      </c>
      <c r="L1008" s="5" t="s">
        <v>19</v>
      </c>
      <c r="M1008" s="5" t="s">
        <v>19</v>
      </c>
      <c r="N1008" s="5" t="s">
        <v>19</v>
      </c>
      <c r="O1008" s="5" t="s">
        <v>19</v>
      </c>
      <c r="P1008" s="5" t="s">
        <v>19</v>
      </c>
      <c r="Q1008" s="5" t="s">
        <v>19</v>
      </c>
      <c r="R1008" s="5" t="s">
        <v>19</v>
      </c>
      <c r="S1008" s="5" t="s">
        <v>19</v>
      </c>
      <c r="T1008" s="5" t="str">
        <f>HYPERLINK("http://www.lghausys.co.kr/popup/rn/download/downloadPopup.jsp?from=plwindow&amp;uu=/upload/window/REPORT/LGH-DA19-043.pdf","결로발생없음")</f>
        <v>결로발생없음</v>
      </c>
      <c r="U1008" s="5" t="s">
        <v>19</v>
      </c>
      <c r="V1008" s="5" t="s">
        <v>19</v>
      </c>
      <c r="W1008" s="5" t="s">
        <v>75</v>
      </c>
      <c r="X1008"/>
    </row>
    <row r="1009" spans="1:24">
      <c r="A1009" t="s">
        <v>174</v>
      </c>
      <c r="B1009" t="s">
        <v>174</v>
      </c>
      <c r="C1009" t="s">
        <v>14</v>
      </c>
      <c r="D1009" t="s">
        <v>28</v>
      </c>
      <c r="E1009" t="s">
        <v>19</v>
      </c>
      <c r="F1009" t="s">
        <v>19</v>
      </c>
      <c r="G1009" t="s">
        <v>19</v>
      </c>
      <c r="H1009" t="s">
        <v>28</v>
      </c>
      <c r="I1009" t="s">
        <v>19</v>
      </c>
      <c r="J1009" t="s">
        <v>255</v>
      </c>
      <c r="K1009" s="21" t="s">
        <v>607</v>
      </c>
      <c r="L1009" s="5" t="s">
        <v>19</v>
      </c>
      <c r="M1009" s="5" t="s">
        <v>19</v>
      </c>
      <c r="N1009" s="5" t="s">
        <v>19</v>
      </c>
      <c r="O1009" s="5" t="s">
        <v>19</v>
      </c>
      <c r="P1009" s="5" t="s">
        <v>19</v>
      </c>
      <c r="Q1009" s="5" t="s">
        <v>19</v>
      </c>
      <c r="R1009" s="5" t="s">
        <v>19</v>
      </c>
      <c r="S1009" s="5" t="s">
        <v>19</v>
      </c>
      <c r="T1009" s="5" t="str">
        <f>HYPERLINK("http://www.lghausys.co.kr/popup/rn/download/downloadPopup.jsp?from=plwindow&amp;uu=/upload/window/REPORT/LGH-DA19-044.pdf","결로발생없음")</f>
        <v>결로발생없음</v>
      </c>
      <c r="U1009" s="5" t="s">
        <v>19</v>
      </c>
      <c r="V1009" s="5" t="s">
        <v>19</v>
      </c>
      <c r="W1009" s="5" t="s">
        <v>75</v>
      </c>
      <c r="X1009"/>
    </row>
    <row r="1010" spans="1:24">
      <c r="A1010" t="s">
        <v>52</v>
      </c>
      <c r="B1010" t="s">
        <v>52</v>
      </c>
      <c r="C1010" t="s">
        <v>31</v>
      </c>
      <c r="D1010" t="s">
        <v>21</v>
      </c>
      <c r="E1010" t="s">
        <v>19</v>
      </c>
      <c r="F1010" t="s">
        <v>19</v>
      </c>
      <c r="G1010" t="s">
        <v>19</v>
      </c>
      <c r="H1010" t="s">
        <v>21</v>
      </c>
      <c r="I1010" t="s">
        <v>19</v>
      </c>
      <c r="J1010" t="s">
        <v>97</v>
      </c>
      <c r="K1010" s="21" t="s">
        <v>607</v>
      </c>
      <c r="L1010" s="5" t="s">
        <v>19</v>
      </c>
      <c r="M1010" s="5" t="s">
        <v>19</v>
      </c>
      <c r="N1010" s="5" t="s">
        <v>19</v>
      </c>
      <c r="O1010" s="5" t="str">
        <f>HYPERLINK("http://www.lghausys.co.kr/popup/rn/download/downloadPopup.jsp?from=plwindow&amp;uu=/upload/window/REPORT/LGH-WA19-307.pdf","1등급")</f>
        <v>1등급</v>
      </c>
      <c r="P1010" s="5" t="s">
        <v>19</v>
      </c>
      <c r="Q1010" s="5" t="s">
        <v>19</v>
      </c>
      <c r="R1010" s="5" t="s">
        <v>19</v>
      </c>
      <c r="S1010" s="5" t="s">
        <v>19</v>
      </c>
      <c r="T1010" s="5" t="s">
        <v>19</v>
      </c>
      <c r="U1010" s="5" t="s">
        <v>19</v>
      </c>
      <c r="V1010" s="5" t="s">
        <v>19</v>
      </c>
      <c r="W1010" s="5" t="s">
        <v>152</v>
      </c>
      <c r="X1010"/>
    </row>
    <row r="1011" spans="1:24">
      <c r="A1011" t="s">
        <v>43</v>
      </c>
      <c r="B1011" t="s">
        <v>43</v>
      </c>
      <c r="C1011" t="s">
        <v>31</v>
      </c>
      <c r="D1011" t="s">
        <v>256</v>
      </c>
      <c r="E1011" t="s">
        <v>19</v>
      </c>
      <c r="F1011" t="s">
        <v>19</v>
      </c>
      <c r="G1011" t="s">
        <v>19</v>
      </c>
      <c r="H1011" t="s">
        <v>19</v>
      </c>
      <c r="I1011" t="s">
        <v>19</v>
      </c>
      <c r="J1011" t="s">
        <v>257</v>
      </c>
      <c r="K1011" s="21" t="s">
        <v>607</v>
      </c>
      <c r="L1011" s="5" t="s">
        <v>19</v>
      </c>
      <c r="M1011" s="5" t="s">
        <v>19</v>
      </c>
      <c r="N1011" s="5" t="s">
        <v>19</v>
      </c>
      <c r="O1011" s="5" t="str">
        <f>HYPERLINK("http://www.lghausys.co.kr/popup/rn/download/downloadPopup.jsp?from=plwindow&amp;uu=/upload/window/REPORT/LGH-WA19-308.pdf","1등급")</f>
        <v>1등급</v>
      </c>
      <c r="P1011" s="5" t="s">
        <v>19</v>
      </c>
      <c r="Q1011" s="5" t="s">
        <v>19</v>
      </c>
      <c r="R1011" s="5" t="s">
        <v>19</v>
      </c>
      <c r="S1011" s="5" t="s">
        <v>19</v>
      </c>
      <c r="T1011" s="5" t="s">
        <v>19</v>
      </c>
      <c r="U1011" s="5" t="s">
        <v>19</v>
      </c>
      <c r="V1011" s="5" t="s">
        <v>19</v>
      </c>
      <c r="W1011" s="5" t="s">
        <v>152</v>
      </c>
      <c r="X1011"/>
    </row>
    <row r="1012" spans="1:24">
      <c r="A1012" t="s">
        <v>222</v>
      </c>
      <c r="B1012" t="s">
        <v>222</v>
      </c>
      <c r="C1012" t="s">
        <v>31</v>
      </c>
      <c r="D1012" t="s">
        <v>28</v>
      </c>
      <c r="E1012" t="s">
        <v>67</v>
      </c>
      <c r="F1012" t="s">
        <v>19</v>
      </c>
      <c r="G1012" t="s">
        <v>19</v>
      </c>
      <c r="H1012" t="s">
        <v>28</v>
      </c>
      <c r="I1012" t="s">
        <v>19</v>
      </c>
      <c r="J1012" t="s">
        <v>74</v>
      </c>
      <c r="K1012" s="21" t="s">
        <v>607</v>
      </c>
      <c r="L1012" s="5" t="s">
        <v>19</v>
      </c>
      <c r="M1012" s="5" t="s">
        <v>19</v>
      </c>
      <c r="N1012" s="5" t="s">
        <v>19</v>
      </c>
      <c r="O1012" s="5" t="str">
        <f>HYPERLINK("http://www.lghausys.co.kr/popup/rn/download/downloadPopup.jsp?from=plwindow&amp;uu=/upload/window/REPORT/LGH-WA19-309.pdf","1등급")</f>
        <v>1등급</v>
      </c>
      <c r="P1012" s="5" t="s">
        <v>19</v>
      </c>
      <c r="Q1012" s="5" t="s">
        <v>19</v>
      </c>
      <c r="R1012" s="5" t="s">
        <v>19</v>
      </c>
      <c r="S1012" s="5" t="s">
        <v>19</v>
      </c>
      <c r="T1012" s="5" t="s">
        <v>19</v>
      </c>
      <c r="U1012" s="5" t="s">
        <v>19</v>
      </c>
      <c r="V1012" s="5" t="s">
        <v>19</v>
      </c>
      <c r="W1012" s="5" t="s">
        <v>152</v>
      </c>
      <c r="X1012"/>
    </row>
    <row r="1013" spans="1:24">
      <c r="A1013" t="s">
        <v>222</v>
      </c>
      <c r="B1013" t="s">
        <v>222</v>
      </c>
      <c r="C1013" t="s">
        <v>31</v>
      </c>
      <c r="D1013" t="s">
        <v>21</v>
      </c>
      <c r="E1013" t="s">
        <v>258</v>
      </c>
      <c r="F1013" t="s">
        <v>19</v>
      </c>
      <c r="G1013" t="s">
        <v>19</v>
      </c>
      <c r="H1013" t="s">
        <v>28</v>
      </c>
      <c r="I1013" t="s">
        <v>19</v>
      </c>
      <c r="J1013" t="s">
        <v>74</v>
      </c>
      <c r="K1013" s="21" t="s">
        <v>607</v>
      </c>
      <c r="L1013" s="5" t="s">
        <v>19</v>
      </c>
      <c r="M1013" s="5" t="s">
        <v>19</v>
      </c>
      <c r="N1013" s="5" t="s">
        <v>19</v>
      </c>
      <c r="O1013" s="5" t="str">
        <f>HYPERLINK("http://www.lghausys.co.kr/popup/rn/download/downloadPopup.jsp?from=plwindow&amp;uu=/upload/window/REPORT/LGH-WA19-310.pdf","1등급")</f>
        <v>1등급</v>
      </c>
      <c r="P1013" s="5" t="s">
        <v>19</v>
      </c>
      <c r="Q1013" s="5" t="s">
        <v>19</v>
      </c>
      <c r="R1013" s="5" t="s">
        <v>19</v>
      </c>
      <c r="S1013" s="5" t="s">
        <v>19</v>
      </c>
      <c r="T1013" s="5" t="s">
        <v>19</v>
      </c>
      <c r="U1013" s="5" t="s">
        <v>19</v>
      </c>
      <c r="V1013" s="5" t="s">
        <v>19</v>
      </c>
      <c r="W1013" s="5" t="s">
        <v>152</v>
      </c>
      <c r="X1013"/>
    </row>
    <row r="1014" spans="1:24">
      <c r="A1014" t="s">
        <v>73</v>
      </c>
      <c r="B1014" t="s">
        <v>73</v>
      </c>
      <c r="C1014" t="s">
        <v>34</v>
      </c>
      <c r="D1014" t="s">
        <v>21</v>
      </c>
      <c r="E1014" t="s">
        <v>19</v>
      </c>
      <c r="F1014" t="s">
        <v>19</v>
      </c>
      <c r="G1014" t="s">
        <v>19</v>
      </c>
      <c r="H1014" t="s">
        <v>53</v>
      </c>
      <c r="I1014" t="s">
        <v>19</v>
      </c>
      <c r="J1014" t="s">
        <v>97</v>
      </c>
      <c r="K1014" s="21" t="s">
        <v>607</v>
      </c>
      <c r="L1014" s="5" t="s">
        <v>19</v>
      </c>
      <c r="M1014" s="5" t="s">
        <v>19</v>
      </c>
      <c r="N1014" s="5" t="str">
        <f>HYPERLINK("http://www.lghausys.co.kr/popup/rn/download/downloadPopup.jsp?from=plwindow&amp;uu=/upload/window/REPORT/LGH-TA19-259.pdf","0.759")</f>
        <v>0.759</v>
      </c>
      <c r="O1014" s="5" t="s">
        <v>19</v>
      </c>
      <c r="P1014" s="5" t="s">
        <v>19</v>
      </c>
      <c r="Q1014" s="5" t="s">
        <v>19</v>
      </c>
      <c r="R1014" s="5" t="s">
        <v>19</v>
      </c>
      <c r="S1014" s="5" t="s">
        <v>19</v>
      </c>
      <c r="T1014" s="5" t="s">
        <v>19</v>
      </c>
      <c r="U1014" s="5" t="s">
        <v>19</v>
      </c>
      <c r="V1014" s="5" t="s">
        <v>19</v>
      </c>
      <c r="W1014" s="5" t="s">
        <v>75</v>
      </c>
      <c r="X1014"/>
    </row>
    <row r="1015" spans="1:24">
      <c r="A1015" t="s">
        <v>250</v>
      </c>
      <c r="B1015" t="s">
        <v>250</v>
      </c>
      <c r="C1015" t="s">
        <v>34</v>
      </c>
      <c r="D1015" t="s">
        <v>68</v>
      </c>
      <c r="E1015" t="s">
        <v>259</v>
      </c>
      <c r="F1015" t="s">
        <v>19</v>
      </c>
      <c r="G1015" t="s">
        <v>182</v>
      </c>
      <c r="H1015" t="s">
        <v>66</v>
      </c>
      <c r="I1015" t="s">
        <v>19</v>
      </c>
      <c r="J1015" t="s">
        <v>145</v>
      </c>
      <c r="K1015" s="21" t="s">
        <v>607</v>
      </c>
      <c r="L1015" s="5" t="s">
        <v>19</v>
      </c>
      <c r="M1015" s="5" t="s">
        <v>19</v>
      </c>
      <c r="N1015" s="5" t="str">
        <f>HYPERLINK("http://www.lghausys.co.kr/popup/rn/download/downloadPopup.jsp?from=plwindow&amp;uu=/upload/window/REPORT/LGH-TA19-278.pdf","0.921")</f>
        <v>0.921</v>
      </c>
      <c r="O1015" s="5" t="s">
        <v>19</v>
      </c>
      <c r="P1015" s="5" t="s">
        <v>19</v>
      </c>
      <c r="Q1015" s="5" t="s">
        <v>19</v>
      </c>
      <c r="R1015" s="5" t="s">
        <v>19</v>
      </c>
      <c r="S1015" s="5" t="s">
        <v>19</v>
      </c>
      <c r="T1015" s="5" t="s">
        <v>19</v>
      </c>
      <c r="U1015" s="5" t="s">
        <v>19</v>
      </c>
      <c r="V1015" s="5" t="s">
        <v>19</v>
      </c>
      <c r="W1015" s="5" t="s">
        <v>75</v>
      </c>
      <c r="X1015"/>
    </row>
    <row r="1016" spans="1:24">
      <c r="A1016" t="s">
        <v>444</v>
      </c>
      <c r="B1016" t="s">
        <v>445</v>
      </c>
      <c r="C1016" t="s">
        <v>20</v>
      </c>
      <c r="D1016" t="s">
        <v>260</v>
      </c>
      <c r="E1016" t="s">
        <v>19</v>
      </c>
      <c r="F1016" t="s">
        <v>19</v>
      </c>
      <c r="G1016" t="s">
        <v>19</v>
      </c>
      <c r="H1016" t="s">
        <v>19</v>
      </c>
      <c r="I1016" t="s">
        <v>19</v>
      </c>
      <c r="J1016" t="s">
        <v>97</v>
      </c>
      <c r="K1016" s="21" t="str">
        <f>IF(X1016&lt;=0.9,HYPERLINK("http://www.lxhausys.co.kr/popup/rn/download/downloadPopup.jsp?from=plwindow&amp;uu=/upload/window/REPORT/LGH-TW19-091.pdf","1등급"),IF(X1016&lt;=1.2,HYPERLINK("http://www.lxhausys.co.kr/popup/rn/download/downloadPopup.jsp?from=plwindow&amp;uu=/upload/window/REPORT/LGH-TW19-091.pdf","2등급"),IF(X1016&lt;=1.8,HYPERLINK("http://www.lxhausys.co.kr/popup/rn/download/downloadPopup.jsp?from=plwindow&amp;uu=/upload/window/REPORT/LGH-TW19-091.pdf","3등급"),IF(X1016&lt;=2.3,HYPERLINK("http://www.lxhausys.co.kr/popup/rn/download/downloadPopup.jsp?from=plwindow&amp;uu=/upload/window/REPORT/LGH-TW19-091.pdf","4등급"),IF(X1016&lt;=2.8,HYPERLINK("http://www.lxhausys.co.kr/popup/rn/download/downloadPopup.jsp?from=plwindow&amp;uu=/upload/window/REPORT/LGH-TW19-091.pdf","5등급"),HYPERLINK("http://www.lxhausys.co.kr/popup/rn/download/downloadPopup.jsp?from=plwindow&amp;uu=/upload/window/REPORT/LGH-TW19-091.pdf","등급외"))))))</f>
        <v>1등급</v>
      </c>
      <c r="L1016" s="5">
        <v>0.77300000000000002</v>
      </c>
      <c r="M1016" s="5" t="s">
        <v>22</v>
      </c>
      <c r="N1016" s="5" t="s">
        <v>607</v>
      </c>
      <c r="O1016" s="5" t="s">
        <v>19</v>
      </c>
      <c r="P1016" s="5" t="s">
        <v>19</v>
      </c>
      <c r="Q1016" s="5" t="s">
        <v>19</v>
      </c>
      <c r="R1016" s="5" t="s">
        <v>19</v>
      </c>
      <c r="S1016" s="5" t="s">
        <v>19</v>
      </c>
      <c r="T1016" s="5" t="s">
        <v>19</v>
      </c>
      <c r="U1016" s="5" t="s">
        <v>19</v>
      </c>
      <c r="V1016" s="5" t="s">
        <v>19</v>
      </c>
      <c r="W1016" s="5" t="s">
        <v>19</v>
      </c>
      <c r="X1016" s="19">
        <f>L1016</f>
        <v>0.77300000000000002</v>
      </c>
    </row>
    <row r="1017" spans="1:24">
      <c r="A1017" t="s">
        <v>144</v>
      </c>
      <c r="B1017" t="s">
        <v>144</v>
      </c>
      <c r="C1017" t="s">
        <v>31</v>
      </c>
      <c r="D1017" t="s">
        <v>41</v>
      </c>
      <c r="E1017" t="s">
        <v>19</v>
      </c>
      <c r="F1017" t="s">
        <v>19</v>
      </c>
      <c r="G1017" t="s">
        <v>19</v>
      </c>
      <c r="H1017" t="s">
        <v>41</v>
      </c>
      <c r="I1017" t="s">
        <v>19</v>
      </c>
      <c r="J1017" t="s">
        <v>255</v>
      </c>
      <c r="K1017" s="21" t="s">
        <v>607</v>
      </c>
      <c r="L1017" s="5" t="s">
        <v>19</v>
      </c>
      <c r="M1017" s="5" t="s">
        <v>19</v>
      </c>
      <c r="N1017" s="5" t="s">
        <v>19</v>
      </c>
      <c r="O1017" s="5" t="str">
        <f>HYPERLINK("http://www.lghausys.co.kr/popup/rn/download/downloadPopup.jsp?from=plwindow&amp;uu=/upload/window/REPORT/LGH-WA19-316.pdf","1등급")</f>
        <v>1등급</v>
      </c>
      <c r="P1017" s="5" t="s">
        <v>19</v>
      </c>
      <c r="Q1017" s="5" t="s">
        <v>19</v>
      </c>
      <c r="R1017" s="5" t="s">
        <v>19</v>
      </c>
      <c r="S1017" s="5" t="s">
        <v>19</v>
      </c>
      <c r="T1017" s="5" t="s">
        <v>19</v>
      </c>
      <c r="U1017" s="5" t="s">
        <v>19</v>
      </c>
      <c r="V1017" s="5" t="s">
        <v>19</v>
      </c>
      <c r="W1017" s="5" t="s">
        <v>152</v>
      </c>
      <c r="X1017"/>
    </row>
    <row r="1018" spans="1:24">
      <c r="A1018" t="s">
        <v>95</v>
      </c>
      <c r="B1018" t="s">
        <v>95</v>
      </c>
      <c r="C1018" t="s">
        <v>31</v>
      </c>
      <c r="D1018" t="s">
        <v>25</v>
      </c>
      <c r="E1018" t="s">
        <v>19</v>
      </c>
      <c r="F1018" t="s">
        <v>19</v>
      </c>
      <c r="G1018" t="s">
        <v>19</v>
      </c>
      <c r="H1018" t="s">
        <v>19</v>
      </c>
      <c r="I1018" t="s">
        <v>19</v>
      </c>
      <c r="J1018" t="s">
        <v>255</v>
      </c>
      <c r="K1018" s="21" t="s">
        <v>607</v>
      </c>
      <c r="L1018" s="5" t="s">
        <v>19</v>
      </c>
      <c r="M1018" s="5" t="s">
        <v>19</v>
      </c>
      <c r="N1018" s="5" t="s">
        <v>19</v>
      </c>
      <c r="O1018" s="5" t="str">
        <f>HYPERLINK("http://www.lghausys.co.kr/popup/rn/download/downloadPopup.jsp?from=plwindow&amp;uu=/upload/window/REPORT/LGH-WA19-317.pdf","1등급")</f>
        <v>1등급</v>
      </c>
      <c r="P1018" s="5" t="s">
        <v>19</v>
      </c>
      <c r="Q1018" s="5" t="s">
        <v>19</v>
      </c>
      <c r="R1018" s="5" t="s">
        <v>19</v>
      </c>
      <c r="S1018" s="5" t="s">
        <v>19</v>
      </c>
      <c r="T1018" s="5" t="s">
        <v>19</v>
      </c>
      <c r="U1018" s="5" t="s">
        <v>19</v>
      </c>
      <c r="V1018" s="5" t="s">
        <v>19</v>
      </c>
      <c r="W1018" s="5" t="s">
        <v>152</v>
      </c>
      <c r="X1018"/>
    </row>
    <row r="1019" spans="1:24">
      <c r="A1019" t="s">
        <v>73</v>
      </c>
      <c r="B1019" t="s">
        <v>73</v>
      </c>
      <c r="C1019" t="s">
        <v>31</v>
      </c>
      <c r="D1019" t="s">
        <v>28</v>
      </c>
      <c r="E1019" t="s">
        <v>19</v>
      </c>
      <c r="F1019" t="s">
        <v>19</v>
      </c>
      <c r="G1019" t="s">
        <v>19</v>
      </c>
      <c r="H1019" t="s">
        <v>28</v>
      </c>
      <c r="I1019" t="s">
        <v>19</v>
      </c>
      <c r="J1019" t="s">
        <v>184</v>
      </c>
      <c r="K1019" s="21" t="s">
        <v>607</v>
      </c>
      <c r="L1019" s="5" t="s">
        <v>19</v>
      </c>
      <c r="M1019" s="5" t="s">
        <v>19</v>
      </c>
      <c r="N1019" s="5" t="s">
        <v>19</v>
      </c>
      <c r="O1019" s="5" t="str">
        <f>HYPERLINK("http://www.lghausys.co.kr/popup/rn/download/downloadPopup.jsp?from=plwindow&amp;uu=/upload/window/REPORT/LGH-WA19-318.pdf","1등급")</f>
        <v>1등급</v>
      </c>
      <c r="P1019" s="5" t="s">
        <v>19</v>
      </c>
      <c r="Q1019" s="5" t="s">
        <v>19</v>
      </c>
      <c r="R1019" s="5" t="s">
        <v>19</v>
      </c>
      <c r="S1019" s="5" t="s">
        <v>19</v>
      </c>
      <c r="T1019" s="5" t="s">
        <v>19</v>
      </c>
      <c r="U1019" s="5" t="s">
        <v>19</v>
      </c>
      <c r="V1019" s="5" t="s">
        <v>19</v>
      </c>
      <c r="W1019" s="5" t="s">
        <v>152</v>
      </c>
      <c r="X1019"/>
    </row>
    <row r="1020" spans="1:24">
      <c r="A1020" t="s">
        <v>174</v>
      </c>
      <c r="B1020" t="s">
        <v>174</v>
      </c>
      <c r="C1020" t="s">
        <v>31</v>
      </c>
      <c r="D1020" t="s">
        <v>28</v>
      </c>
      <c r="E1020" t="s">
        <v>19</v>
      </c>
      <c r="F1020" t="s">
        <v>19</v>
      </c>
      <c r="G1020" t="s">
        <v>19</v>
      </c>
      <c r="H1020" t="s">
        <v>28</v>
      </c>
      <c r="I1020" t="s">
        <v>19</v>
      </c>
      <c r="J1020" t="s">
        <v>255</v>
      </c>
      <c r="K1020" s="21" t="s">
        <v>607</v>
      </c>
      <c r="L1020" s="5" t="s">
        <v>19</v>
      </c>
      <c r="M1020" s="5" t="s">
        <v>19</v>
      </c>
      <c r="N1020" s="5" t="s">
        <v>19</v>
      </c>
      <c r="O1020" s="5" t="str">
        <f>HYPERLINK("http://www.lghausys.co.kr/popup/rn/download/downloadPopup.jsp?from=plwindow&amp;uu=/upload/window/REPORT/LGH-WA19-319.pdf","1등급")</f>
        <v>1등급</v>
      </c>
      <c r="P1020" s="5" t="s">
        <v>19</v>
      </c>
      <c r="Q1020" s="5" t="s">
        <v>19</v>
      </c>
      <c r="R1020" s="5" t="s">
        <v>19</v>
      </c>
      <c r="S1020" s="5" t="s">
        <v>19</v>
      </c>
      <c r="T1020" s="5" t="s">
        <v>19</v>
      </c>
      <c r="U1020" s="5" t="s">
        <v>19</v>
      </c>
      <c r="V1020" s="5" t="s">
        <v>19</v>
      </c>
      <c r="W1020" s="5" t="s">
        <v>152</v>
      </c>
      <c r="X1020"/>
    </row>
    <row r="1021" spans="1:24">
      <c r="A1021" t="s">
        <v>78</v>
      </c>
      <c r="B1021" t="s">
        <v>78</v>
      </c>
      <c r="C1021" t="s">
        <v>31</v>
      </c>
      <c r="D1021" t="s">
        <v>25</v>
      </c>
      <c r="E1021" t="s">
        <v>227</v>
      </c>
      <c r="F1021" t="s">
        <v>19</v>
      </c>
      <c r="G1021" t="s">
        <v>19</v>
      </c>
      <c r="H1021" t="s">
        <v>19</v>
      </c>
      <c r="I1021" t="s">
        <v>19</v>
      </c>
      <c r="J1021" t="s">
        <v>74</v>
      </c>
      <c r="K1021" s="21" t="s">
        <v>607</v>
      </c>
      <c r="L1021" s="5" t="s">
        <v>19</v>
      </c>
      <c r="M1021" s="5" t="s">
        <v>19</v>
      </c>
      <c r="N1021" s="5" t="s">
        <v>19</v>
      </c>
      <c r="O1021" s="5" t="str">
        <f>HYPERLINK("http://www.lghausys.co.kr/popup/rn/download/downloadPopup.jsp?from=plwindow&amp;uu=/upload/window/REPORT/LGH-WA19-321.pdf","2등급")</f>
        <v>2등급</v>
      </c>
      <c r="P1021" s="5" t="s">
        <v>19</v>
      </c>
      <c r="Q1021" s="5" t="s">
        <v>19</v>
      </c>
      <c r="R1021" s="5" t="s">
        <v>19</v>
      </c>
      <c r="S1021" s="5" t="s">
        <v>19</v>
      </c>
      <c r="T1021" s="5" t="s">
        <v>19</v>
      </c>
      <c r="U1021" s="5" t="s">
        <v>19</v>
      </c>
      <c r="V1021" s="5" t="s">
        <v>19</v>
      </c>
      <c r="W1021" s="5" t="s">
        <v>152</v>
      </c>
      <c r="X1021"/>
    </row>
    <row r="1022" spans="1:24">
      <c r="A1022" t="s">
        <v>446</v>
      </c>
      <c r="B1022" t="s">
        <v>446</v>
      </c>
      <c r="C1022" t="s">
        <v>31</v>
      </c>
      <c r="D1022" t="s">
        <v>261</v>
      </c>
      <c r="E1022" t="s">
        <v>19</v>
      </c>
      <c r="F1022" t="s">
        <v>19</v>
      </c>
      <c r="G1022" t="s">
        <v>19</v>
      </c>
      <c r="H1022" t="s">
        <v>19</v>
      </c>
      <c r="I1022" t="s">
        <v>19</v>
      </c>
      <c r="J1022" t="s">
        <v>97</v>
      </c>
      <c r="K1022" s="21" t="s">
        <v>607</v>
      </c>
      <c r="L1022" s="5" t="s">
        <v>19</v>
      </c>
      <c r="M1022" s="5" t="s">
        <v>19</v>
      </c>
      <c r="N1022" s="5" t="s">
        <v>19</v>
      </c>
      <c r="O1022" s="5" t="str">
        <f>HYPERLINK("http://www.lghausys.co.kr/popup/rn/download/downloadPopup.jsp?from=plwindow&amp;uu=/upload/window/REPORT/LGH-WA19-322.pdf","1등급")</f>
        <v>1등급</v>
      </c>
      <c r="P1022" s="5" t="str">
        <f>HYPERLINK("http://www.lghausys.co.kr/popup/rn/download/downloadPopup.jsp?from=plwindow&amp;uu=/upload/window/REPORT/LGH-WA19-322.pdf","50등급")</f>
        <v>50등급</v>
      </c>
      <c r="Q1022" s="5" t="str">
        <f>HYPERLINK("http://www.lghausys.co.kr/popup/rn/download/downloadPopup.jsp?from=plwindow&amp;uu=/upload/window/REPORT/LGH-WA19-322.pdf","240등급")</f>
        <v>240등급</v>
      </c>
      <c r="R1022" s="5" t="s">
        <v>19</v>
      </c>
      <c r="S1022" s="5" t="s">
        <v>19</v>
      </c>
      <c r="T1022" s="5" t="s">
        <v>19</v>
      </c>
      <c r="U1022" s="5" t="s">
        <v>19</v>
      </c>
      <c r="V1022" s="5" t="s">
        <v>19</v>
      </c>
      <c r="W1022" s="5" t="s">
        <v>152</v>
      </c>
      <c r="X1022"/>
    </row>
    <row r="1023" spans="1:24">
      <c r="A1023" t="s">
        <v>139</v>
      </c>
      <c r="B1023" t="s">
        <v>139</v>
      </c>
      <c r="C1023" t="s">
        <v>34</v>
      </c>
      <c r="D1023" t="s">
        <v>262</v>
      </c>
      <c r="E1023" t="s">
        <v>19</v>
      </c>
      <c r="F1023" t="s">
        <v>25</v>
      </c>
      <c r="G1023" t="s">
        <v>182</v>
      </c>
      <c r="H1023" t="s">
        <v>64</v>
      </c>
      <c r="I1023" t="s">
        <v>19</v>
      </c>
      <c r="J1023" t="s">
        <v>145</v>
      </c>
      <c r="K1023" s="21" t="s">
        <v>607</v>
      </c>
      <c r="L1023" s="5" t="s">
        <v>19</v>
      </c>
      <c r="M1023" s="5" t="s">
        <v>19</v>
      </c>
      <c r="N1023" s="5" t="str">
        <f>HYPERLINK("http://www.lghausys.co.kr/popup/rn/download/downloadPopup.jsp?from=plwindow&amp;uu=/upload/window/REPORT/KICT-R-K-2018-01783-1.pdf","0.985")</f>
        <v>0.985</v>
      </c>
      <c r="O1023" s="5" t="s">
        <v>19</v>
      </c>
      <c r="P1023" s="5" t="s">
        <v>19</v>
      </c>
      <c r="Q1023" s="5" t="s">
        <v>19</v>
      </c>
      <c r="R1023" s="5" t="s">
        <v>19</v>
      </c>
      <c r="S1023" s="5" t="s">
        <v>19</v>
      </c>
      <c r="T1023" s="5" t="s">
        <v>19</v>
      </c>
      <c r="U1023" s="5" t="s">
        <v>19</v>
      </c>
      <c r="V1023" s="5" t="s">
        <v>19</v>
      </c>
      <c r="W1023" s="5" t="s">
        <v>19</v>
      </c>
      <c r="X1023"/>
    </row>
    <row r="1024" spans="1:24">
      <c r="A1024" t="s">
        <v>61</v>
      </c>
      <c r="B1024" t="s">
        <v>61</v>
      </c>
      <c r="C1024" t="s">
        <v>263</v>
      </c>
      <c r="D1024" t="s">
        <v>19</v>
      </c>
      <c r="E1024" t="s">
        <v>19</v>
      </c>
      <c r="F1024" t="s">
        <v>19</v>
      </c>
      <c r="G1024" t="s">
        <v>19</v>
      </c>
      <c r="H1024" t="s">
        <v>19</v>
      </c>
      <c r="I1024" t="s">
        <v>19</v>
      </c>
      <c r="J1024" t="s">
        <v>19</v>
      </c>
      <c r="K1024" s="21" t="s">
        <v>607</v>
      </c>
      <c r="L1024" s="5" t="s">
        <v>19</v>
      </c>
      <c r="M1024" s="5" t="s">
        <v>19</v>
      </c>
      <c r="N1024" s="5" t="s">
        <v>19</v>
      </c>
      <c r="O1024" s="5" t="s">
        <v>19</v>
      </c>
      <c r="P1024" s="5" t="s">
        <v>19</v>
      </c>
      <c r="Q1024" s="5" t="s">
        <v>19</v>
      </c>
      <c r="R1024" s="5" t="s">
        <v>19</v>
      </c>
      <c r="S1024" s="5" t="s">
        <v>19</v>
      </c>
      <c r="T1024" s="5" t="s">
        <v>19</v>
      </c>
      <c r="U1024" s="5" t="s">
        <v>19</v>
      </c>
      <c r="V1024" s="5" t="str">
        <f>HYPERLINK("http://www.lghausys.co.kr/popup/rn/download/downloadPopup.jsp?from=plwindow&amp;uu=/upload/window/REPORT/CT19-114953K.pdf","PASS")</f>
        <v>PASS</v>
      </c>
      <c r="W1024" s="5" t="s">
        <v>19</v>
      </c>
      <c r="X1024"/>
    </row>
    <row r="1025" spans="1:24">
      <c r="A1025" t="s">
        <v>125</v>
      </c>
      <c r="B1025" t="s">
        <v>125</v>
      </c>
      <c r="C1025" t="s">
        <v>263</v>
      </c>
      <c r="D1025" t="s">
        <v>19</v>
      </c>
      <c r="E1025" t="s">
        <v>19</v>
      </c>
      <c r="F1025" t="s">
        <v>19</v>
      </c>
      <c r="G1025" t="s">
        <v>19</v>
      </c>
      <c r="H1025" t="s">
        <v>19</v>
      </c>
      <c r="I1025" t="s">
        <v>19</v>
      </c>
      <c r="J1025" t="s">
        <v>19</v>
      </c>
      <c r="K1025" s="21" t="s">
        <v>607</v>
      </c>
      <c r="L1025" s="5" t="s">
        <v>19</v>
      </c>
      <c r="M1025" s="5" t="s">
        <v>19</v>
      </c>
      <c r="N1025" s="5" t="s">
        <v>19</v>
      </c>
      <c r="O1025" s="5" t="s">
        <v>19</v>
      </c>
      <c r="P1025" s="5" t="s">
        <v>19</v>
      </c>
      <c r="Q1025" s="5" t="s">
        <v>19</v>
      </c>
      <c r="R1025" s="5" t="s">
        <v>19</v>
      </c>
      <c r="S1025" s="5" t="s">
        <v>19</v>
      </c>
      <c r="T1025" s="5" t="s">
        <v>19</v>
      </c>
      <c r="U1025" s="5" t="s">
        <v>19</v>
      </c>
      <c r="V1025" s="14" t="str">
        <f>HYPERLINK("http://www.lghausys.co.kr/popup/rn/download/downloadPopup.jsp?from=plwindow&amp;uu=/upload/window/REPORT/CT19-114955K.pdf","PASS")</f>
        <v>PASS</v>
      </c>
      <c r="W1025" s="5" t="s">
        <v>19</v>
      </c>
      <c r="X1025"/>
    </row>
    <row r="1026" spans="1:24">
      <c r="A1026" t="s">
        <v>52</v>
      </c>
      <c r="B1026" t="s">
        <v>52</v>
      </c>
      <c r="C1026" t="s">
        <v>263</v>
      </c>
      <c r="D1026" t="s">
        <v>19</v>
      </c>
      <c r="E1026" t="s">
        <v>19</v>
      </c>
      <c r="F1026" t="s">
        <v>19</v>
      </c>
      <c r="G1026" t="s">
        <v>19</v>
      </c>
      <c r="H1026" t="s">
        <v>19</v>
      </c>
      <c r="I1026" t="s">
        <v>19</v>
      </c>
      <c r="J1026" t="s">
        <v>19</v>
      </c>
      <c r="K1026" s="21" t="s">
        <v>607</v>
      </c>
      <c r="L1026" s="5" t="s">
        <v>19</v>
      </c>
      <c r="M1026" s="5" t="s">
        <v>19</v>
      </c>
      <c r="N1026" s="5" t="s">
        <v>19</v>
      </c>
      <c r="O1026" s="5" t="s">
        <v>19</v>
      </c>
      <c r="P1026" s="5" t="s">
        <v>19</v>
      </c>
      <c r="Q1026" s="5" t="s">
        <v>19</v>
      </c>
      <c r="R1026" s="5" t="s">
        <v>19</v>
      </c>
      <c r="S1026" s="5" t="s">
        <v>19</v>
      </c>
      <c r="T1026" s="5" t="s">
        <v>19</v>
      </c>
      <c r="U1026" s="5" t="s">
        <v>19</v>
      </c>
      <c r="V1026" s="14" t="str">
        <f>HYPERLINK("http://www.lghausys.co.kr/popup/rn/download/downloadPopup.jsp?from=plwindow&amp;uu=/upload/window/REPORT/CT19-114954K.pdf","PASS")</f>
        <v>PASS</v>
      </c>
      <c r="W1026" s="5" t="s">
        <v>19</v>
      </c>
      <c r="X1026"/>
    </row>
    <row r="1027" spans="1:24">
      <c r="A1027" t="s">
        <v>447</v>
      </c>
      <c r="B1027" t="s">
        <v>447</v>
      </c>
      <c r="C1027" t="s">
        <v>31</v>
      </c>
      <c r="D1027" t="s">
        <v>261</v>
      </c>
      <c r="E1027" t="s">
        <v>19</v>
      </c>
      <c r="F1027" t="s">
        <v>19</v>
      </c>
      <c r="G1027" t="s">
        <v>19</v>
      </c>
      <c r="H1027" t="s">
        <v>19</v>
      </c>
      <c r="I1027" t="s">
        <v>19</v>
      </c>
      <c r="J1027" t="s">
        <v>97</v>
      </c>
      <c r="K1027" s="21" t="s">
        <v>607</v>
      </c>
      <c r="L1027" s="5" t="s">
        <v>19</v>
      </c>
      <c r="M1027" s="5" t="s">
        <v>19</v>
      </c>
      <c r="N1027" s="5" t="s">
        <v>19</v>
      </c>
      <c r="O1027" s="5" t="str">
        <f>HYPERLINK("http://www.lghausys.co.kr/popup/rn/download/downloadPopup.jsp?from=plwindow&amp;uu=/upload/window/REPORT/LGH-WA19-323.pdf","1등급")</f>
        <v>1등급</v>
      </c>
      <c r="P1027" s="5" t="str">
        <f>HYPERLINK("http://www.lghausys.co.kr/popup/rn/download/downloadPopup.jsp?from=plwindow&amp;uu=/upload/window/REPORT/LGH-WA19-323.pdf","50등급")</f>
        <v>50등급</v>
      </c>
      <c r="Q1027" s="5" t="str">
        <f>HYPERLINK("http://www.lghausys.co.kr/popup/rn/download/downloadPopup.jsp?from=plwindow&amp;uu=/upload/window/REPORT/LGH-WA19-323.pdf","240등급")</f>
        <v>240등급</v>
      </c>
      <c r="R1027" s="5" t="s">
        <v>19</v>
      </c>
      <c r="S1027" s="5" t="s">
        <v>19</v>
      </c>
      <c r="T1027" s="5" t="s">
        <v>19</v>
      </c>
      <c r="U1027" s="5" t="s">
        <v>19</v>
      </c>
      <c r="V1027" s="5" t="s">
        <v>19</v>
      </c>
      <c r="W1027" s="5" t="s">
        <v>152</v>
      </c>
      <c r="X1027"/>
    </row>
    <row r="1028" spans="1:24">
      <c r="A1028" t="s">
        <v>446</v>
      </c>
      <c r="B1028" t="s">
        <v>446</v>
      </c>
      <c r="C1028" t="s">
        <v>20</v>
      </c>
      <c r="D1028" t="s">
        <v>260</v>
      </c>
      <c r="E1028" t="s">
        <v>19</v>
      </c>
      <c r="F1028" t="s">
        <v>19</v>
      </c>
      <c r="G1028" t="s">
        <v>19</v>
      </c>
      <c r="H1028" t="s">
        <v>19</v>
      </c>
      <c r="I1028" t="s">
        <v>19</v>
      </c>
      <c r="J1028" t="s">
        <v>97</v>
      </c>
      <c r="K1028" s="21" t="str">
        <f>IF(X1028&lt;=0.9,HYPERLINK("http://www.lxhausys.co.kr/popup/rn/download/downloadPopup.jsp?from=plwindow&amp;uu=/upload/window/REPORT/LGH-TW19-092.pdf","1등급"),IF(X1028&lt;=1.2,HYPERLINK("http://www.lxhausys.co.kr/popup/rn/download/downloadPopup.jsp?from=plwindow&amp;uu=/upload/window/REPORT/LGH-TW19-092.pdf","2등급"),IF(X1028&lt;=1.8,HYPERLINK("http://www.lxhausys.co.kr/popup/rn/download/downloadPopup.jsp?from=plwindow&amp;uu=/upload/window/REPORT/LGH-TW19-092.pdf","3등급"),IF(X1028&lt;=2.3,HYPERLINK("http://www.lxhausys.co.kr/popup/rn/download/downloadPopup.jsp?from=plwindow&amp;uu=/upload/window/REPORT/LGH-TW19-092.pdf","4등급"),IF(X1028&lt;=2.8,HYPERLINK("http://www.lxhausys.co.kr/popup/rn/download/downloadPopup.jsp?from=plwindow&amp;uu=/upload/window/REPORT/LGH-TW19-092.pdf","5등급"),HYPERLINK("http://www.lxhausys.co.kr/popup/rn/download/downloadPopup.jsp?from=plwindow&amp;uu=/upload/window/REPORT/LGH-TW19-092.pdf","등급외"))))))</f>
        <v>1등급</v>
      </c>
      <c r="L1028" s="5">
        <v>0.88700000000000001</v>
      </c>
      <c r="M1028" s="5" t="s">
        <v>22</v>
      </c>
      <c r="N1028" s="5" t="s">
        <v>607</v>
      </c>
      <c r="O1028" s="5" t="s">
        <v>19</v>
      </c>
      <c r="P1028" s="5" t="s">
        <v>19</v>
      </c>
      <c r="Q1028" s="5" t="s">
        <v>19</v>
      </c>
      <c r="R1028" s="5" t="s">
        <v>19</v>
      </c>
      <c r="S1028" s="5" t="s">
        <v>19</v>
      </c>
      <c r="T1028" s="5" t="s">
        <v>19</v>
      </c>
      <c r="U1028" s="5" t="s">
        <v>19</v>
      </c>
      <c r="V1028" s="5" t="s">
        <v>19</v>
      </c>
      <c r="W1028" s="5" t="s">
        <v>19</v>
      </c>
      <c r="X1028" s="19">
        <f>L1028</f>
        <v>0.88700000000000001</v>
      </c>
    </row>
    <row r="1029" spans="1:24">
      <c r="A1029" t="s">
        <v>447</v>
      </c>
      <c r="B1029" t="s">
        <v>447</v>
      </c>
      <c r="C1029" t="s">
        <v>20</v>
      </c>
      <c r="D1029" t="s">
        <v>260</v>
      </c>
      <c r="E1029" t="s">
        <v>19</v>
      </c>
      <c r="F1029" t="s">
        <v>19</v>
      </c>
      <c r="G1029" t="s">
        <v>19</v>
      </c>
      <c r="H1029" t="s">
        <v>19</v>
      </c>
      <c r="I1029" t="s">
        <v>19</v>
      </c>
      <c r="J1029" t="s">
        <v>97</v>
      </c>
      <c r="K1029" s="21" t="str">
        <f>IF(X1029&lt;=0.9,HYPERLINK("http://www.lxhausys.co.kr/popup/rn/download/downloadPopup.jsp?from=plwindow&amp;uu=/upload/window/REPORT/LGH-TW19-093.pdf","1등급"),IF(X1029&lt;=1.2,HYPERLINK("http://www.lxhausys.co.kr/popup/rn/download/downloadPopup.jsp?from=plwindow&amp;uu=/upload/window/REPORT/LGH-TW19-093.pdf","2등급"),IF(X1029&lt;=1.8,HYPERLINK("http://www.lxhausys.co.kr/popup/rn/download/downloadPopup.jsp?from=plwindow&amp;uu=/upload/window/REPORT/LGH-TW19-093.pdf","3등급"),IF(X1029&lt;=2.3,HYPERLINK("http://www.lxhausys.co.kr/popup/rn/download/downloadPopup.jsp?from=plwindow&amp;uu=/upload/window/REPORT/LGH-TW19-093.pdf","4등급"),IF(X1029&lt;=2.8,HYPERLINK("http://www.lxhausys.co.kr/popup/rn/download/downloadPopup.jsp?from=plwindow&amp;uu=/upload/window/REPORT/LGH-TW19-093.pdf","5등급"),HYPERLINK("http://www.lxhausys.co.kr/popup/rn/download/downloadPopup.jsp?from=plwindow&amp;uu=/upload/window/REPORT/LGH-TW19-093.pdf","등급외"))))))</f>
        <v>1등급</v>
      </c>
      <c r="L1029" s="5">
        <v>0.89400000000000002</v>
      </c>
      <c r="M1029" s="5" t="s">
        <v>22</v>
      </c>
      <c r="N1029" s="5" t="s">
        <v>607</v>
      </c>
      <c r="O1029" s="5" t="s">
        <v>19</v>
      </c>
      <c r="P1029" s="5" t="s">
        <v>19</v>
      </c>
      <c r="Q1029" s="5" t="s">
        <v>19</v>
      </c>
      <c r="R1029" s="5" t="s">
        <v>19</v>
      </c>
      <c r="S1029" s="5" t="s">
        <v>19</v>
      </c>
      <c r="T1029" s="5" t="s">
        <v>19</v>
      </c>
      <c r="U1029" s="5" t="s">
        <v>19</v>
      </c>
      <c r="V1029" s="5" t="s">
        <v>19</v>
      </c>
      <c r="W1029" s="5" t="s">
        <v>19</v>
      </c>
      <c r="X1029" s="19">
        <f>L1029</f>
        <v>0.89400000000000002</v>
      </c>
    </row>
    <row r="1030" spans="1:24">
      <c r="A1030" t="s">
        <v>72</v>
      </c>
      <c r="B1030" t="s">
        <v>72</v>
      </c>
      <c r="C1030" t="s">
        <v>31</v>
      </c>
      <c r="D1030" t="s">
        <v>264</v>
      </c>
      <c r="E1030" t="s">
        <v>19</v>
      </c>
      <c r="F1030" t="s">
        <v>19</v>
      </c>
      <c r="G1030" t="s">
        <v>19</v>
      </c>
      <c r="H1030" t="s">
        <v>19</v>
      </c>
      <c r="I1030" t="s">
        <v>19</v>
      </c>
      <c r="J1030" t="s">
        <v>74</v>
      </c>
      <c r="K1030" s="21" t="s">
        <v>607</v>
      </c>
      <c r="L1030" s="5" t="s">
        <v>19</v>
      </c>
      <c r="M1030" s="5" t="s">
        <v>19</v>
      </c>
      <c r="N1030" s="5" t="s">
        <v>19</v>
      </c>
      <c r="O1030" s="5" t="str">
        <f>HYPERLINK("http://www.lghausys.co.kr/popup/rn/download/downloadPopup.jsp?from=plwindow&amp;uu=/upload/window/REPORT/LGH-WA19-325.pdf","2등급")</f>
        <v>2등급</v>
      </c>
      <c r="P1030" s="5" t="s">
        <v>19</v>
      </c>
      <c r="Q1030" s="5" t="s">
        <v>19</v>
      </c>
      <c r="R1030" s="5" t="s">
        <v>19</v>
      </c>
      <c r="S1030" s="5" t="s">
        <v>19</v>
      </c>
      <c r="T1030" s="5" t="s">
        <v>19</v>
      </c>
      <c r="U1030" s="5" t="s">
        <v>19</v>
      </c>
      <c r="V1030" s="5" t="s">
        <v>19</v>
      </c>
      <c r="W1030" s="5" t="s">
        <v>152</v>
      </c>
      <c r="X1030"/>
    </row>
    <row r="1031" spans="1:24">
      <c r="A1031" t="s">
        <v>224</v>
      </c>
      <c r="B1031" t="s">
        <v>224</v>
      </c>
      <c r="C1031" t="s">
        <v>31</v>
      </c>
      <c r="D1031" t="s">
        <v>264</v>
      </c>
      <c r="E1031" t="s">
        <v>19</v>
      </c>
      <c r="F1031" t="s">
        <v>19</v>
      </c>
      <c r="G1031" t="s">
        <v>19</v>
      </c>
      <c r="H1031" t="s">
        <v>19</v>
      </c>
      <c r="I1031" t="s">
        <v>19</v>
      </c>
      <c r="J1031" t="s">
        <v>74</v>
      </c>
      <c r="K1031" s="21" t="s">
        <v>607</v>
      </c>
      <c r="L1031" s="5" t="s">
        <v>19</v>
      </c>
      <c r="M1031" s="5" t="s">
        <v>19</v>
      </c>
      <c r="N1031" s="5" t="s">
        <v>19</v>
      </c>
      <c r="O1031" s="5" t="str">
        <f>HYPERLINK("http://www.lghausys.co.kr/popup/rn/download/downloadPopup.jsp?from=plwindow&amp;uu=/upload/window/REPORT/LGH-WA19-326.pdf","2등급")</f>
        <v>2등급</v>
      </c>
      <c r="P1031" s="5" t="s">
        <v>19</v>
      </c>
      <c r="Q1031" s="5" t="s">
        <v>19</v>
      </c>
      <c r="R1031" s="5" t="s">
        <v>19</v>
      </c>
      <c r="S1031" s="5" t="s">
        <v>19</v>
      </c>
      <c r="T1031" s="5" t="s">
        <v>19</v>
      </c>
      <c r="U1031" s="5" t="s">
        <v>19</v>
      </c>
      <c r="V1031" s="5" t="s">
        <v>19</v>
      </c>
      <c r="W1031" s="5" t="s">
        <v>152</v>
      </c>
      <c r="X1031"/>
    </row>
    <row r="1032" spans="1:24">
      <c r="A1032" t="s">
        <v>61</v>
      </c>
      <c r="B1032" t="s">
        <v>61</v>
      </c>
      <c r="C1032" t="s">
        <v>31</v>
      </c>
      <c r="D1032" t="s">
        <v>265</v>
      </c>
      <c r="E1032" t="s">
        <v>19</v>
      </c>
      <c r="F1032" t="s">
        <v>19</v>
      </c>
      <c r="G1032" t="s">
        <v>19</v>
      </c>
      <c r="H1032" t="s">
        <v>19</v>
      </c>
      <c r="I1032" t="s">
        <v>19</v>
      </c>
      <c r="J1032" t="s">
        <v>99</v>
      </c>
      <c r="K1032" s="21" t="s">
        <v>607</v>
      </c>
      <c r="L1032" s="5" t="s">
        <v>19</v>
      </c>
      <c r="M1032" s="5" t="s">
        <v>19</v>
      </c>
      <c r="N1032" s="5" t="s">
        <v>19</v>
      </c>
      <c r="O1032" s="5" t="str">
        <f>HYPERLINK("http://www.lghausys.co.kr/popup/rn/download/downloadPopup.jsp?from=plwindow&amp;uu=/upload/window/REPORT/LGH-WA19-327.pdf","2등급")</f>
        <v>2등급</v>
      </c>
      <c r="P1032" s="5" t="str">
        <f>HYPERLINK("http://www.lghausys.co.kr/popup/rn/download/downloadPopup.jsp?from=plwindow&amp;uu=/upload/window/REPORT/LGH-WA19-327.pdf","15등급")</f>
        <v>15등급</v>
      </c>
      <c r="Q1032" s="5" t="str">
        <f>HYPERLINK("http://www.lghausys.co.kr/popup/rn/download/downloadPopup.jsp?from=plwindow&amp;uu=/upload/window/REPORT/LGH-WA19-327.pdf","240등급")</f>
        <v>240등급</v>
      </c>
      <c r="R1032" s="5" t="s">
        <v>19</v>
      </c>
      <c r="S1032" s="5" t="s">
        <v>19</v>
      </c>
      <c r="T1032" s="5" t="s">
        <v>19</v>
      </c>
      <c r="U1032" s="5" t="s">
        <v>19</v>
      </c>
      <c r="V1032" s="5" t="s">
        <v>19</v>
      </c>
      <c r="W1032" s="5" t="s">
        <v>152</v>
      </c>
      <c r="X1032"/>
    </row>
    <row r="1033" spans="1:24">
      <c r="A1033" t="s">
        <v>73</v>
      </c>
      <c r="B1033" t="s">
        <v>73</v>
      </c>
      <c r="C1033" t="s">
        <v>31</v>
      </c>
      <c r="D1033" t="s">
        <v>265</v>
      </c>
      <c r="E1033" t="s">
        <v>19</v>
      </c>
      <c r="F1033" t="s">
        <v>19</v>
      </c>
      <c r="G1033" t="s">
        <v>19</v>
      </c>
      <c r="H1033" t="s">
        <v>166</v>
      </c>
      <c r="I1033" t="s">
        <v>19</v>
      </c>
      <c r="J1033" t="s">
        <v>99</v>
      </c>
      <c r="K1033" s="21" t="s">
        <v>607</v>
      </c>
      <c r="L1033" s="5" t="s">
        <v>19</v>
      </c>
      <c r="M1033" s="5" t="s">
        <v>19</v>
      </c>
      <c r="N1033" s="5" t="s">
        <v>19</v>
      </c>
      <c r="O1033" s="5" t="str">
        <f>HYPERLINK("http://www.lghausys.co.kr/popup/rn/download/downloadPopup.jsp?from=plwindow&amp;uu=/upload/window/REPORT/LGH-WA19-328.pdf","1등급")</f>
        <v>1등급</v>
      </c>
      <c r="P1033" s="5" t="str">
        <f>HYPERLINK("http://www.lghausys.co.kr/popup/rn/download/downloadPopup.jsp?from=plwindow&amp;uu=/upload/window/REPORT/LGH-WA19-328.pdf","50등급")</f>
        <v>50등급</v>
      </c>
      <c r="Q1033" s="5" t="str">
        <f>HYPERLINK("http://www.lghausys.co.kr/popup/rn/download/downloadPopup.jsp?from=plwindow&amp;uu=/upload/window/REPORT/LGH-WA19-328.pdf","360등급")</f>
        <v>360등급</v>
      </c>
      <c r="R1033" s="5" t="s">
        <v>19</v>
      </c>
      <c r="S1033" s="5" t="s">
        <v>19</v>
      </c>
      <c r="T1033" s="5" t="s">
        <v>19</v>
      </c>
      <c r="U1033" s="5" t="s">
        <v>19</v>
      </c>
      <c r="V1033" s="5" t="s">
        <v>19</v>
      </c>
      <c r="W1033" s="5" t="s">
        <v>152</v>
      </c>
      <c r="X1033"/>
    </row>
    <row r="1034" spans="1:24">
      <c r="A1034" t="s">
        <v>447</v>
      </c>
      <c r="B1034" t="s">
        <v>447</v>
      </c>
      <c r="C1034" t="s">
        <v>15</v>
      </c>
      <c r="D1034" t="s">
        <v>260</v>
      </c>
      <c r="E1034" t="s">
        <v>19</v>
      </c>
      <c r="F1034" t="s">
        <v>19</v>
      </c>
      <c r="G1034" t="s">
        <v>19</v>
      </c>
      <c r="H1034" t="s">
        <v>19</v>
      </c>
      <c r="I1034" t="s">
        <v>19</v>
      </c>
      <c r="J1034" t="s">
        <v>97</v>
      </c>
      <c r="K1034" s="21" t="s">
        <v>607</v>
      </c>
      <c r="L1034" s="5" t="s">
        <v>19</v>
      </c>
      <c r="M1034" s="5" t="s">
        <v>19</v>
      </c>
      <c r="N1034" s="5" t="s">
        <v>19</v>
      </c>
      <c r="O1034" s="5" t="s">
        <v>19</v>
      </c>
      <c r="P1034" s="5" t="s">
        <v>19</v>
      </c>
      <c r="Q1034" s="5" t="s">
        <v>19</v>
      </c>
      <c r="R1034" s="5" t="s">
        <v>19</v>
      </c>
      <c r="S1034" s="5" t="s">
        <v>19</v>
      </c>
      <c r="T1034" s="5" t="s">
        <v>19</v>
      </c>
      <c r="U1034" s="5" t="str">
        <f>HYPERLINK("http://www.lghausys.co.kr/popup/rn/download/downloadPopup.jsp?from=plwindow&amp;uu=/upload/window/REPORT/LGH-DA19-048.pdf","결로발생없음")</f>
        <v>결로발생없음</v>
      </c>
      <c r="V1034" s="5" t="s">
        <v>19</v>
      </c>
      <c r="W1034" s="5" t="s">
        <v>75</v>
      </c>
      <c r="X1034"/>
    </row>
    <row r="1035" spans="1:24">
      <c r="A1035" t="s">
        <v>136</v>
      </c>
      <c r="B1035" t="s">
        <v>136</v>
      </c>
      <c r="C1035" t="s">
        <v>34</v>
      </c>
      <c r="D1035" t="s">
        <v>25</v>
      </c>
      <c r="E1035" t="s">
        <v>178</v>
      </c>
      <c r="F1035" t="s">
        <v>19</v>
      </c>
      <c r="G1035" t="s">
        <v>19</v>
      </c>
      <c r="H1035" t="s">
        <v>19</v>
      </c>
      <c r="I1035" t="s">
        <v>19</v>
      </c>
      <c r="J1035" t="s">
        <v>145</v>
      </c>
      <c r="K1035" s="21" t="s">
        <v>607</v>
      </c>
      <c r="L1035" s="5" t="s">
        <v>19</v>
      </c>
      <c r="M1035" s="5" t="s">
        <v>19</v>
      </c>
      <c r="N1035" s="5" t="str">
        <f>HYPERLINK("http://www.lghausys.co.kr/popup/rn/download/downloadPopup.jsp?from=plwindow&amp;uu=/upload/window/REPORT/LGH-TA19-303.pdf","2.747")</f>
        <v>2.747</v>
      </c>
      <c r="O1035" s="5" t="s">
        <v>19</v>
      </c>
      <c r="P1035" s="5" t="s">
        <v>19</v>
      </c>
      <c r="Q1035" s="5" t="s">
        <v>19</v>
      </c>
      <c r="R1035" s="5" t="s">
        <v>19</v>
      </c>
      <c r="S1035" s="5" t="s">
        <v>19</v>
      </c>
      <c r="T1035" s="5" t="s">
        <v>19</v>
      </c>
      <c r="U1035" s="5" t="s">
        <v>19</v>
      </c>
      <c r="V1035" s="5" t="s">
        <v>19</v>
      </c>
      <c r="W1035" s="5" t="s">
        <v>75</v>
      </c>
      <c r="X1035"/>
    </row>
    <row r="1036" spans="1:24">
      <c r="A1036" t="s">
        <v>144</v>
      </c>
      <c r="B1036" t="s">
        <v>144</v>
      </c>
      <c r="C1036" t="s">
        <v>34</v>
      </c>
      <c r="D1036" t="s">
        <v>41</v>
      </c>
      <c r="E1036" t="s">
        <v>19</v>
      </c>
      <c r="F1036" t="s">
        <v>19</v>
      </c>
      <c r="G1036" t="s">
        <v>19</v>
      </c>
      <c r="H1036" t="s">
        <v>41</v>
      </c>
      <c r="I1036" t="s">
        <v>19</v>
      </c>
      <c r="J1036" t="s">
        <v>74</v>
      </c>
      <c r="K1036" s="21" t="s">
        <v>607</v>
      </c>
      <c r="L1036" s="5" t="s">
        <v>19</v>
      </c>
      <c r="M1036" s="5" t="s">
        <v>19</v>
      </c>
      <c r="N1036" s="5" t="str">
        <f>HYPERLINK("http://www.lghausys.co.kr/popup/rn/download/downloadPopup.jsp?from=plwindow&amp;uu=/upload/window/REPORT/LGH-TA19-305.pdf","1.372")</f>
        <v>1.372</v>
      </c>
      <c r="O1036" s="5" t="s">
        <v>19</v>
      </c>
      <c r="P1036" s="5" t="s">
        <v>19</v>
      </c>
      <c r="Q1036" s="5" t="s">
        <v>19</v>
      </c>
      <c r="R1036" s="5" t="s">
        <v>19</v>
      </c>
      <c r="S1036" s="5" t="s">
        <v>19</v>
      </c>
      <c r="T1036" s="5" t="s">
        <v>19</v>
      </c>
      <c r="U1036" s="5" t="s">
        <v>19</v>
      </c>
      <c r="V1036" s="5" t="s">
        <v>19</v>
      </c>
      <c r="W1036" s="5" t="s">
        <v>75</v>
      </c>
      <c r="X1036"/>
    </row>
    <row r="1037" spans="1:24">
      <c r="A1037" t="s">
        <v>95</v>
      </c>
      <c r="B1037" t="s">
        <v>95</v>
      </c>
      <c r="C1037" t="s">
        <v>34</v>
      </c>
      <c r="D1037" t="s">
        <v>25</v>
      </c>
      <c r="E1037" t="s">
        <v>19</v>
      </c>
      <c r="F1037" t="s">
        <v>19</v>
      </c>
      <c r="G1037" t="s">
        <v>19</v>
      </c>
      <c r="H1037" t="s">
        <v>19</v>
      </c>
      <c r="I1037" t="s">
        <v>19</v>
      </c>
      <c r="J1037" t="s">
        <v>255</v>
      </c>
      <c r="K1037" s="21" t="s">
        <v>607</v>
      </c>
      <c r="L1037" s="5" t="s">
        <v>19</v>
      </c>
      <c r="M1037" s="5" t="s">
        <v>19</v>
      </c>
      <c r="N1037" s="5" t="str">
        <f>HYPERLINK("http://www.lghausys.co.kr/popup/rn/download/downloadPopup.jsp?from=plwindow&amp;uu=/upload/window/REPORT/LGH-TA19-306.pdf","2.703")</f>
        <v>2.703</v>
      </c>
      <c r="O1037" s="5" t="s">
        <v>19</v>
      </c>
      <c r="P1037" s="5" t="s">
        <v>19</v>
      </c>
      <c r="Q1037" s="5" t="s">
        <v>19</v>
      </c>
      <c r="R1037" s="5" t="s">
        <v>19</v>
      </c>
      <c r="S1037" s="5" t="s">
        <v>19</v>
      </c>
      <c r="T1037" s="5" t="s">
        <v>19</v>
      </c>
      <c r="U1037" s="5" t="s">
        <v>19</v>
      </c>
      <c r="V1037" s="5" t="s">
        <v>19</v>
      </c>
      <c r="W1037" s="5" t="s">
        <v>75</v>
      </c>
      <c r="X1037"/>
    </row>
    <row r="1038" spans="1:24">
      <c r="A1038" t="s">
        <v>73</v>
      </c>
      <c r="B1038" t="s">
        <v>73</v>
      </c>
      <c r="C1038" t="s">
        <v>34</v>
      </c>
      <c r="D1038" t="s">
        <v>28</v>
      </c>
      <c r="E1038" t="s">
        <v>19</v>
      </c>
      <c r="F1038" t="s">
        <v>19</v>
      </c>
      <c r="G1038" t="s">
        <v>19</v>
      </c>
      <c r="H1038" t="s">
        <v>28</v>
      </c>
      <c r="I1038" t="s">
        <v>19</v>
      </c>
      <c r="J1038" t="s">
        <v>255</v>
      </c>
      <c r="K1038" s="21" t="s">
        <v>607</v>
      </c>
      <c r="L1038" s="5" t="s">
        <v>19</v>
      </c>
      <c r="M1038" s="5" t="s">
        <v>19</v>
      </c>
      <c r="N1038" s="5" t="str">
        <f>HYPERLINK("http://www.lghausys.co.kr/popup/rn/download/downloadPopup.jsp?from=plwindow&amp;uu=/upload/window/REPORT/LGH-TA19-307.pdf","0.895")</f>
        <v>0.895</v>
      </c>
      <c r="O1038" s="5" t="s">
        <v>19</v>
      </c>
      <c r="P1038" s="5" t="s">
        <v>19</v>
      </c>
      <c r="Q1038" s="5" t="s">
        <v>19</v>
      </c>
      <c r="R1038" s="5" t="s">
        <v>19</v>
      </c>
      <c r="S1038" s="5" t="s">
        <v>19</v>
      </c>
      <c r="T1038" s="5" t="s">
        <v>19</v>
      </c>
      <c r="U1038" s="5" t="s">
        <v>19</v>
      </c>
      <c r="V1038" s="5" t="s">
        <v>19</v>
      </c>
      <c r="W1038" s="5" t="s">
        <v>75</v>
      </c>
      <c r="X1038"/>
    </row>
    <row r="1039" spans="1:24">
      <c r="A1039" t="s">
        <v>174</v>
      </c>
      <c r="B1039" t="s">
        <v>174</v>
      </c>
      <c r="C1039" t="s">
        <v>34</v>
      </c>
      <c r="D1039" t="s">
        <v>28</v>
      </c>
      <c r="E1039" t="s">
        <v>19</v>
      </c>
      <c r="F1039" t="s">
        <v>19</v>
      </c>
      <c r="G1039" t="s">
        <v>19</v>
      </c>
      <c r="H1039" t="s">
        <v>28</v>
      </c>
      <c r="I1039" t="s">
        <v>19</v>
      </c>
      <c r="J1039" t="s">
        <v>255</v>
      </c>
      <c r="K1039" s="21" t="s">
        <v>607</v>
      </c>
      <c r="L1039" s="5" t="s">
        <v>19</v>
      </c>
      <c r="M1039" s="5" t="s">
        <v>19</v>
      </c>
      <c r="N1039" s="5" t="str">
        <f>HYPERLINK("http://www.lghausys.co.kr/popup/rn/download/downloadPopup.jsp?from=plwindow&amp;uu=/upload/window/REPORT/LGH-TA19-308.pdf","0.8959")</f>
        <v>0.8959</v>
      </c>
      <c r="O1039" s="5" t="s">
        <v>19</v>
      </c>
      <c r="P1039" s="5" t="s">
        <v>19</v>
      </c>
      <c r="Q1039" s="5" t="s">
        <v>19</v>
      </c>
      <c r="R1039" s="5" t="s">
        <v>19</v>
      </c>
      <c r="S1039" s="5" t="s">
        <v>19</v>
      </c>
      <c r="T1039" s="5" t="s">
        <v>19</v>
      </c>
      <c r="U1039" s="5" t="s">
        <v>19</v>
      </c>
      <c r="V1039" s="5" t="s">
        <v>19</v>
      </c>
      <c r="W1039" s="5" t="s">
        <v>75</v>
      </c>
      <c r="X1039"/>
    </row>
    <row r="1040" spans="1:24">
      <c r="A1040" t="s">
        <v>61</v>
      </c>
      <c r="B1040" t="s">
        <v>61</v>
      </c>
      <c r="C1040" t="s">
        <v>34</v>
      </c>
      <c r="D1040" t="s">
        <v>28</v>
      </c>
      <c r="E1040" t="s">
        <v>19</v>
      </c>
      <c r="F1040" t="s">
        <v>19</v>
      </c>
      <c r="G1040" t="s">
        <v>19</v>
      </c>
      <c r="H1040" t="s">
        <v>19</v>
      </c>
      <c r="I1040" t="s">
        <v>19</v>
      </c>
      <c r="J1040" t="s">
        <v>74</v>
      </c>
      <c r="K1040" s="21" t="s">
        <v>607</v>
      </c>
      <c r="L1040" s="5" t="s">
        <v>19</v>
      </c>
      <c r="M1040" s="5" t="s">
        <v>19</v>
      </c>
      <c r="N1040" s="5" t="str">
        <f>HYPERLINK("http://www.lghausys.co.kr/popup/rn/download/downloadPopup.jsp?from=plwindow&amp;uu=/upload/window/REPORT/LGH-TA19-310.pdf","2.041")</f>
        <v>2.041</v>
      </c>
      <c r="O1040" s="5" t="s">
        <v>19</v>
      </c>
      <c r="P1040" s="5" t="s">
        <v>19</v>
      </c>
      <c r="Q1040" s="5" t="s">
        <v>19</v>
      </c>
      <c r="R1040" s="5" t="s">
        <v>19</v>
      </c>
      <c r="S1040" s="5" t="s">
        <v>19</v>
      </c>
      <c r="T1040" s="5" t="s">
        <v>19</v>
      </c>
      <c r="U1040" s="5" t="s">
        <v>19</v>
      </c>
      <c r="V1040" s="5" t="s">
        <v>19</v>
      </c>
      <c r="W1040" s="5" t="s">
        <v>75</v>
      </c>
      <c r="X1040"/>
    </row>
    <row r="1041" spans="1:24">
      <c r="A1041" t="s">
        <v>266</v>
      </c>
      <c r="B1041" t="s">
        <v>266</v>
      </c>
      <c r="C1041" t="s">
        <v>34</v>
      </c>
      <c r="D1041" t="s">
        <v>264</v>
      </c>
      <c r="E1041" t="s">
        <v>19</v>
      </c>
      <c r="F1041" t="s">
        <v>19</v>
      </c>
      <c r="G1041" t="s">
        <v>19</v>
      </c>
      <c r="H1041" t="s">
        <v>19</v>
      </c>
      <c r="I1041" t="s">
        <v>19</v>
      </c>
      <c r="J1041" t="s">
        <v>74</v>
      </c>
      <c r="K1041" s="21" t="s">
        <v>607</v>
      </c>
      <c r="L1041" s="5" t="s">
        <v>19</v>
      </c>
      <c r="M1041" s="5" t="s">
        <v>19</v>
      </c>
      <c r="N1041" s="5" t="str">
        <f>HYPERLINK("http://www.lghausys.co.kr/popup/rn/download/downloadPopup.jsp?from=plwindow&amp;uu=/upload/window/REPORT/LGH-TA20-002.pdf","2.07")</f>
        <v>2.07</v>
      </c>
      <c r="O1041" s="5" t="s">
        <v>19</v>
      </c>
      <c r="P1041" s="5" t="s">
        <v>19</v>
      </c>
      <c r="Q1041" s="5" t="s">
        <v>19</v>
      </c>
      <c r="R1041" s="5" t="s">
        <v>19</v>
      </c>
      <c r="S1041" s="5" t="s">
        <v>19</v>
      </c>
      <c r="T1041" s="5" t="s">
        <v>19</v>
      </c>
      <c r="U1041" s="5" t="s">
        <v>19</v>
      </c>
      <c r="V1041" s="5" t="s">
        <v>19</v>
      </c>
      <c r="W1041" s="5" t="s">
        <v>75</v>
      </c>
      <c r="X1041"/>
    </row>
    <row r="1042" spans="1:24">
      <c r="A1042" t="s">
        <v>73</v>
      </c>
      <c r="B1042" t="s">
        <v>73</v>
      </c>
      <c r="C1042" t="s">
        <v>34</v>
      </c>
      <c r="D1042" t="s">
        <v>264</v>
      </c>
      <c r="E1042" t="s">
        <v>19</v>
      </c>
      <c r="F1042" t="s">
        <v>19</v>
      </c>
      <c r="G1042" t="s">
        <v>19</v>
      </c>
      <c r="H1042" t="s">
        <v>265</v>
      </c>
      <c r="I1042" t="s">
        <v>19</v>
      </c>
      <c r="J1042" t="s">
        <v>99</v>
      </c>
      <c r="K1042" s="21" t="s">
        <v>607</v>
      </c>
      <c r="L1042" s="5" t="s">
        <v>19</v>
      </c>
      <c r="M1042" s="5" t="s">
        <v>19</v>
      </c>
      <c r="N1042" s="5" t="str">
        <f>HYPERLINK("http://www.lghausys.co.kr/popup/rn/download/downloadPopup.jsp?from=plwindow&amp;uu=/upload/window/REPORT/LGH-TA20-003.pdf","0.932")</f>
        <v>0.932</v>
      </c>
      <c r="O1042" s="5" t="s">
        <v>19</v>
      </c>
      <c r="P1042" s="5" t="s">
        <v>19</v>
      </c>
      <c r="Q1042" s="5" t="s">
        <v>19</v>
      </c>
      <c r="R1042" s="5" t="s">
        <v>19</v>
      </c>
      <c r="S1042" s="5" t="s">
        <v>19</v>
      </c>
      <c r="T1042" s="5" t="s">
        <v>19</v>
      </c>
      <c r="U1042" s="5" t="s">
        <v>19</v>
      </c>
      <c r="V1042" s="5" t="s">
        <v>19</v>
      </c>
      <c r="W1042" s="5" t="s">
        <v>75</v>
      </c>
      <c r="X1042"/>
    </row>
    <row r="1043" spans="1:24">
      <c r="A1043" t="s">
        <v>52</v>
      </c>
      <c r="B1043" t="s">
        <v>52</v>
      </c>
      <c r="C1043" t="s">
        <v>34</v>
      </c>
      <c r="D1043" t="s">
        <v>21</v>
      </c>
      <c r="E1043" t="s">
        <v>19</v>
      </c>
      <c r="F1043" t="s">
        <v>19</v>
      </c>
      <c r="G1043" t="s">
        <v>19</v>
      </c>
      <c r="H1043" t="s">
        <v>21</v>
      </c>
      <c r="I1043" t="s">
        <v>19</v>
      </c>
      <c r="J1043" t="s">
        <v>145</v>
      </c>
      <c r="K1043" s="21" t="s">
        <v>607</v>
      </c>
      <c r="L1043" s="5" t="s">
        <v>19</v>
      </c>
      <c r="M1043" s="5" t="s">
        <v>19</v>
      </c>
      <c r="N1043" s="5" t="str">
        <f>HYPERLINK("http://www.lghausys.co.kr/popup/rn/download/downloadPopup.jsp?from=plwindow&amp;uu=/upload/window/REPORT/LGH-TA20-004.pdf","0.787")</f>
        <v>0.787</v>
      </c>
      <c r="O1043" s="5" t="s">
        <v>19</v>
      </c>
      <c r="P1043" s="5" t="s">
        <v>19</v>
      </c>
      <c r="Q1043" s="5" t="s">
        <v>19</v>
      </c>
      <c r="R1043" s="5" t="s">
        <v>19</v>
      </c>
      <c r="S1043" s="5" t="s">
        <v>19</v>
      </c>
      <c r="T1043" s="5" t="s">
        <v>19</v>
      </c>
      <c r="U1043" s="5" t="s">
        <v>19</v>
      </c>
      <c r="V1043" s="5" t="s">
        <v>19</v>
      </c>
      <c r="W1043" s="5" t="s">
        <v>75</v>
      </c>
      <c r="X1043"/>
    </row>
    <row r="1044" spans="1:24">
      <c r="A1044" t="s">
        <v>52</v>
      </c>
      <c r="B1044" t="s">
        <v>52</v>
      </c>
      <c r="C1044" t="s">
        <v>34</v>
      </c>
      <c r="D1044" t="s">
        <v>21</v>
      </c>
      <c r="E1044" t="s">
        <v>19</v>
      </c>
      <c r="F1044" t="s">
        <v>19</v>
      </c>
      <c r="G1044" t="s">
        <v>19</v>
      </c>
      <c r="H1044" t="s">
        <v>21</v>
      </c>
      <c r="I1044" t="s">
        <v>19</v>
      </c>
      <c r="J1044" t="s">
        <v>97</v>
      </c>
      <c r="K1044" s="21" t="s">
        <v>607</v>
      </c>
      <c r="L1044" s="5" t="s">
        <v>19</v>
      </c>
      <c r="M1044" s="5" t="s">
        <v>19</v>
      </c>
      <c r="N1044" s="5" t="str">
        <f>HYPERLINK("http://www.lghausys.co.kr/popup/rn/download/downloadPopup.jsp?from=plwindow&amp;uu=/upload/window/REPORT/LGH-TA20-005.pdf","0.7979")</f>
        <v>0.7979</v>
      </c>
      <c r="O1044" s="5" t="s">
        <v>19</v>
      </c>
      <c r="P1044" s="5" t="s">
        <v>19</v>
      </c>
      <c r="Q1044" s="5" t="s">
        <v>19</v>
      </c>
      <c r="R1044" s="5" t="s">
        <v>19</v>
      </c>
      <c r="S1044" s="5" t="s">
        <v>19</v>
      </c>
      <c r="T1044" s="5" t="s">
        <v>19</v>
      </c>
      <c r="U1044" s="5" t="s">
        <v>19</v>
      </c>
      <c r="V1044" s="5" t="s">
        <v>19</v>
      </c>
      <c r="W1044" s="5" t="s">
        <v>75</v>
      </c>
      <c r="X1044"/>
    </row>
    <row r="1045" spans="1:24">
      <c r="A1045" t="s">
        <v>224</v>
      </c>
      <c r="B1045" t="s">
        <v>224</v>
      </c>
      <c r="C1045" t="s">
        <v>31</v>
      </c>
      <c r="D1045" t="s">
        <v>76</v>
      </c>
      <c r="E1045" t="s">
        <v>19</v>
      </c>
      <c r="F1045" t="s">
        <v>19</v>
      </c>
      <c r="G1045" t="s">
        <v>19</v>
      </c>
      <c r="H1045" t="s">
        <v>19</v>
      </c>
      <c r="I1045" t="s">
        <v>19</v>
      </c>
      <c r="J1045" t="s">
        <v>97</v>
      </c>
      <c r="K1045" s="21" t="s">
        <v>607</v>
      </c>
      <c r="L1045" s="5" t="s">
        <v>19</v>
      </c>
      <c r="M1045" s="5" t="s">
        <v>19</v>
      </c>
      <c r="N1045" s="5" t="s">
        <v>19</v>
      </c>
      <c r="O1045" s="5" t="str">
        <f>HYPERLINK("http://www.lghausys.co.kr/popup/rn/download/downloadPopup.jsp?from=plwindow&amp;uu=/upload/window/REPORT/LGH-WA20-001.pdf","2등급")</f>
        <v>2등급</v>
      </c>
      <c r="P1045" s="5" t="s">
        <v>19</v>
      </c>
      <c r="Q1045" s="5" t="s">
        <v>19</v>
      </c>
      <c r="R1045" s="5" t="s">
        <v>19</v>
      </c>
      <c r="S1045" s="5" t="s">
        <v>19</v>
      </c>
      <c r="T1045" s="5" t="s">
        <v>19</v>
      </c>
      <c r="U1045" s="5" t="s">
        <v>19</v>
      </c>
      <c r="V1045" s="5" t="s">
        <v>19</v>
      </c>
      <c r="W1045" s="5" t="s">
        <v>152</v>
      </c>
      <c r="X1045"/>
    </row>
    <row r="1046" spans="1:24">
      <c r="A1046" t="s">
        <v>125</v>
      </c>
      <c r="B1046" t="s">
        <v>125</v>
      </c>
      <c r="C1046" t="s">
        <v>31</v>
      </c>
      <c r="D1046" t="s">
        <v>28</v>
      </c>
      <c r="E1046" t="s">
        <v>19</v>
      </c>
      <c r="F1046" t="s">
        <v>19</v>
      </c>
      <c r="G1046" t="s">
        <v>19</v>
      </c>
      <c r="H1046" t="s">
        <v>19</v>
      </c>
      <c r="I1046" t="s">
        <v>19</v>
      </c>
      <c r="J1046" t="s">
        <v>145</v>
      </c>
      <c r="K1046" s="21" t="s">
        <v>607</v>
      </c>
      <c r="L1046" s="5" t="s">
        <v>19</v>
      </c>
      <c r="M1046" s="5" t="s">
        <v>19</v>
      </c>
      <c r="N1046" s="5" t="s">
        <v>19</v>
      </c>
      <c r="O1046" s="5" t="str">
        <f>HYPERLINK("http://www.lghausys.co.kr/popup/rn/download/downloadPopup.jsp?from=plwindow&amp;uu=/upload/window/REPORT/LGH-WA20-002.pdf","2등급")</f>
        <v>2등급</v>
      </c>
      <c r="P1046" s="5" t="s">
        <v>19</v>
      </c>
      <c r="Q1046" s="5" t="s">
        <v>19</v>
      </c>
      <c r="R1046" s="5" t="s">
        <v>19</v>
      </c>
      <c r="S1046" s="5" t="s">
        <v>19</v>
      </c>
      <c r="T1046" s="5" t="s">
        <v>19</v>
      </c>
      <c r="U1046" s="5" t="s">
        <v>19</v>
      </c>
      <c r="V1046" s="5" t="s">
        <v>19</v>
      </c>
      <c r="W1046" s="5" t="s">
        <v>152</v>
      </c>
      <c r="X1046"/>
    </row>
    <row r="1047" spans="1:24">
      <c r="A1047" t="s">
        <v>52</v>
      </c>
      <c r="B1047" t="s">
        <v>52</v>
      </c>
      <c r="C1047" t="s">
        <v>31</v>
      </c>
      <c r="D1047" t="s">
        <v>28</v>
      </c>
      <c r="E1047" t="s">
        <v>19</v>
      </c>
      <c r="F1047" t="s">
        <v>19</v>
      </c>
      <c r="G1047" t="s">
        <v>19</v>
      </c>
      <c r="H1047" t="s">
        <v>28</v>
      </c>
      <c r="I1047" t="s">
        <v>19</v>
      </c>
      <c r="J1047" t="s">
        <v>145</v>
      </c>
      <c r="K1047" s="21" t="s">
        <v>607</v>
      </c>
      <c r="L1047" s="5" t="s">
        <v>19</v>
      </c>
      <c r="M1047" s="5" t="s">
        <v>19</v>
      </c>
      <c r="N1047" s="5" t="s">
        <v>19</v>
      </c>
      <c r="O1047" s="5" t="str">
        <f>HYPERLINK("http://www.lghausys.co.kr/popup/rn/download/downloadPopup.jsp?from=plwindow&amp;uu=/upload/window/REPORT/LGH-WA20-003.pdf","1등급")</f>
        <v>1등급</v>
      </c>
      <c r="P1047" s="5" t="s">
        <v>19</v>
      </c>
      <c r="Q1047" s="5" t="s">
        <v>19</v>
      </c>
      <c r="R1047" s="5" t="s">
        <v>19</v>
      </c>
      <c r="S1047" s="5" t="s">
        <v>19</v>
      </c>
      <c r="T1047" s="5" t="s">
        <v>19</v>
      </c>
      <c r="U1047" s="5" t="s">
        <v>19</v>
      </c>
      <c r="V1047" s="5" t="s">
        <v>19</v>
      </c>
      <c r="W1047" s="5" t="s">
        <v>152</v>
      </c>
      <c r="X1047"/>
    </row>
    <row r="1048" spans="1:24">
      <c r="A1048" t="s">
        <v>250</v>
      </c>
      <c r="B1048" t="s">
        <v>250</v>
      </c>
      <c r="C1048" t="s">
        <v>31</v>
      </c>
      <c r="D1048" t="s">
        <v>267</v>
      </c>
      <c r="E1048" t="s">
        <v>19</v>
      </c>
      <c r="F1048" t="s">
        <v>68</v>
      </c>
      <c r="G1048" t="s">
        <v>182</v>
      </c>
      <c r="H1048" t="s">
        <v>66</v>
      </c>
      <c r="I1048" t="s">
        <v>19</v>
      </c>
      <c r="J1048" t="s">
        <v>74</v>
      </c>
      <c r="K1048" s="21" t="s">
        <v>607</v>
      </c>
      <c r="L1048" s="5" t="s">
        <v>19</v>
      </c>
      <c r="M1048" s="5" t="s">
        <v>19</v>
      </c>
      <c r="N1048" s="5" t="s">
        <v>19</v>
      </c>
      <c r="O1048" s="5" t="str">
        <f>HYPERLINK("http://www.lghausys.co.kr/popup/rn/download/downloadPopup.jsp?from=plwindow&amp;uu=/upload/window/REPORT/LGH-WA20-004.pdf","1등급")</f>
        <v>1등급</v>
      </c>
      <c r="P1048" s="5" t="str">
        <f>HYPERLINK("http://www.lghausys.co.kr/popup/rn/download/downloadPopup.jsp?from=plwindow&amp;uu=/upload/window/REPORT/LGH-WA20-004.pdf","50등급")</f>
        <v>50등급</v>
      </c>
      <c r="Q1048" s="5" t="str">
        <f>HYPERLINK("http://www.lghausys.co.kr/popup/rn/download/downloadPopup.jsp?from=plwindow&amp;uu=/upload/window/REPORT/LGH-WA20-004.pdf","400등급")</f>
        <v>400등급</v>
      </c>
      <c r="R1048" s="5" t="s">
        <v>19</v>
      </c>
      <c r="S1048" s="5" t="s">
        <v>19</v>
      </c>
      <c r="T1048" s="5" t="s">
        <v>19</v>
      </c>
      <c r="U1048" s="5" t="s">
        <v>19</v>
      </c>
      <c r="V1048" s="5" t="s">
        <v>19</v>
      </c>
      <c r="W1048" s="5" t="s">
        <v>152</v>
      </c>
      <c r="X1048"/>
    </row>
    <row r="1049" spans="1:24">
      <c r="A1049" t="s">
        <v>446</v>
      </c>
      <c r="B1049" t="s">
        <v>446</v>
      </c>
      <c r="C1049" t="s">
        <v>20</v>
      </c>
      <c r="D1049" t="s">
        <v>212</v>
      </c>
      <c r="E1049" t="s">
        <v>19</v>
      </c>
      <c r="F1049" t="s">
        <v>19</v>
      </c>
      <c r="G1049" t="s">
        <v>19</v>
      </c>
      <c r="H1049" t="s">
        <v>19</v>
      </c>
      <c r="I1049" t="s">
        <v>19</v>
      </c>
      <c r="J1049" t="s">
        <v>97</v>
      </c>
      <c r="K1049" s="21" t="str">
        <f>IF(X1049&lt;=0.9,HYPERLINK("http://www.lxhausys.co.kr/popup/rn/download/downloadPopup.jsp?from=plwindow&amp;uu=/upload/window/REPORT/LGH-TW20-001.pdf","1등급"),IF(X1049&lt;=1.2,HYPERLINK("http://www.lxhausys.co.kr/popup/rn/download/downloadPopup.jsp?from=plwindow&amp;uu=/upload/window/REPORT/LGH-TW20-001.pdf","2등급"),IF(X1049&lt;=1.8,HYPERLINK("http://www.lxhausys.co.kr/popup/rn/download/downloadPopup.jsp?from=plwindow&amp;uu=/upload/window/REPORT/LGH-TW20-001.pdf","3등급"),IF(X1049&lt;=2.3,HYPERLINK("http://www.lxhausys.co.kr/popup/rn/download/downloadPopup.jsp?from=plwindow&amp;uu=/upload/window/REPORT/LGH-TW20-001.pdf","4등급"),IF(X1049&lt;=2.8,HYPERLINK("http://www.lxhausys.co.kr/popup/rn/download/downloadPopup.jsp?from=plwindow&amp;uu=/upload/window/REPORT/LGH-TW20-001.pdf","5등급"),HYPERLINK("http://www.lxhausys.co.kr/popup/rn/download/downloadPopup.jsp?from=plwindow&amp;uu=/upload/window/REPORT/LGH-TW20-001.pdf","등급외"))))))</f>
        <v>3등급</v>
      </c>
      <c r="L1049" s="5">
        <v>1.379</v>
      </c>
      <c r="M1049" s="5" t="s">
        <v>22</v>
      </c>
      <c r="N1049" s="5" t="s">
        <v>607</v>
      </c>
      <c r="O1049" s="5" t="s">
        <v>19</v>
      </c>
      <c r="P1049" s="5" t="s">
        <v>19</v>
      </c>
      <c r="Q1049" s="5" t="s">
        <v>19</v>
      </c>
      <c r="R1049" s="5" t="s">
        <v>19</v>
      </c>
      <c r="S1049" s="5" t="s">
        <v>19</v>
      </c>
      <c r="T1049" s="5" t="s">
        <v>19</v>
      </c>
      <c r="U1049" s="5" t="s">
        <v>19</v>
      </c>
      <c r="V1049" s="5" t="s">
        <v>19</v>
      </c>
      <c r="W1049" s="5" t="s">
        <v>19</v>
      </c>
      <c r="X1049" s="19">
        <f>L1049</f>
        <v>1.379</v>
      </c>
    </row>
    <row r="1050" spans="1:24">
      <c r="A1050" t="s">
        <v>447</v>
      </c>
      <c r="B1050" t="s">
        <v>447</v>
      </c>
      <c r="C1050" t="s">
        <v>20</v>
      </c>
      <c r="D1050" t="s">
        <v>268</v>
      </c>
      <c r="E1050" t="s">
        <v>19</v>
      </c>
      <c r="F1050" t="s">
        <v>19</v>
      </c>
      <c r="G1050" t="s">
        <v>19</v>
      </c>
      <c r="H1050" t="s">
        <v>19</v>
      </c>
      <c r="I1050" t="s">
        <v>19</v>
      </c>
      <c r="J1050" t="s">
        <v>97</v>
      </c>
      <c r="K1050" s="21" t="str">
        <f>IF(X1050&lt;=0.9,HYPERLINK("http://www.lxhausys.co.kr/popup/rn/download/downloadPopup.jsp?from=plwindow&amp;uu=/upload/window/REPORT/LGH-TW20-002.pdf","1등급"),IF(X1050&lt;=1.2,HYPERLINK("http://www.lxhausys.co.kr/popup/rn/download/downloadPopup.jsp?from=plwindow&amp;uu=/upload/window/REPORT/LGH-TW20-002.pdf","2등급"),IF(X1050&lt;=1.8,HYPERLINK("http://www.lxhausys.co.kr/popup/rn/download/downloadPopup.jsp?from=plwindow&amp;uu=/upload/window/REPORT/LGH-TW20-002.pdf","3등급"),IF(X1050&lt;=2.3,HYPERLINK("http://www.lxhausys.co.kr/popup/rn/download/downloadPopup.jsp?from=plwindow&amp;uu=/upload/window/REPORT/LGH-TW20-002.pdf","4등급"),IF(X1050&lt;=2.8,HYPERLINK("http://www.lxhausys.co.kr/popup/rn/download/downloadPopup.jsp?from=plwindow&amp;uu=/upload/window/REPORT/LGH-TW20-002.pdf","5등급"),HYPERLINK("http://www.lxhausys.co.kr/popup/rn/download/downloadPopup.jsp?from=plwindow&amp;uu=/upload/window/REPORT/LGH-TW20-002.pdf","등급외"))))))</f>
        <v>1등급</v>
      </c>
      <c r="L1050" s="5">
        <v>0.8909999999999999</v>
      </c>
      <c r="M1050" s="5" t="s">
        <v>22</v>
      </c>
      <c r="N1050" s="5" t="s">
        <v>607</v>
      </c>
      <c r="O1050" s="5" t="s">
        <v>19</v>
      </c>
      <c r="P1050" s="5" t="s">
        <v>19</v>
      </c>
      <c r="Q1050" s="5" t="s">
        <v>19</v>
      </c>
      <c r="R1050" s="5" t="s">
        <v>19</v>
      </c>
      <c r="S1050" s="5" t="s">
        <v>19</v>
      </c>
      <c r="T1050" s="5" t="s">
        <v>19</v>
      </c>
      <c r="U1050" s="5" t="s">
        <v>19</v>
      </c>
      <c r="V1050" s="5" t="s">
        <v>19</v>
      </c>
      <c r="W1050" s="5" t="s">
        <v>19</v>
      </c>
      <c r="X1050" s="19">
        <f>L1050</f>
        <v>0.8909999999999999</v>
      </c>
    </row>
    <row r="1051" spans="1:24">
      <c r="A1051" t="s">
        <v>73</v>
      </c>
      <c r="B1051" t="s">
        <v>73</v>
      </c>
      <c r="C1051" t="s">
        <v>34</v>
      </c>
      <c r="D1051" t="s">
        <v>25</v>
      </c>
      <c r="E1051" t="s">
        <v>19</v>
      </c>
      <c r="F1051" t="s">
        <v>19</v>
      </c>
      <c r="G1051" t="s">
        <v>19</v>
      </c>
      <c r="H1051" t="s">
        <v>28</v>
      </c>
      <c r="I1051" t="s">
        <v>19</v>
      </c>
      <c r="J1051" t="s">
        <v>97</v>
      </c>
      <c r="K1051" s="21" t="s">
        <v>607</v>
      </c>
      <c r="L1051" s="5" t="s">
        <v>19</v>
      </c>
      <c r="M1051" s="5" t="s">
        <v>19</v>
      </c>
      <c r="N1051" s="5" t="str">
        <f>HYPERLINK("http://www.lghausys.co.kr/popup/rn/download/downloadPopup.jsp?from=plwindow&amp;uu=/upload/window/REPORT/LGH-TA20-009.pdf","0.985")</f>
        <v>0.985</v>
      </c>
      <c r="O1051" s="5" t="s">
        <v>19</v>
      </c>
      <c r="P1051" s="5" t="s">
        <v>19</v>
      </c>
      <c r="Q1051" s="5" t="s">
        <v>19</v>
      </c>
      <c r="R1051" s="5" t="s">
        <v>19</v>
      </c>
      <c r="S1051" s="5" t="s">
        <v>19</v>
      </c>
      <c r="T1051" s="5" t="s">
        <v>19</v>
      </c>
      <c r="U1051" s="5" t="s">
        <v>19</v>
      </c>
      <c r="V1051" s="5" t="s">
        <v>19</v>
      </c>
      <c r="W1051" s="5" t="s">
        <v>75</v>
      </c>
      <c r="X1051"/>
    </row>
    <row r="1052" spans="1:24">
      <c r="A1052" t="s">
        <v>240</v>
      </c>
      <c r="B1052" t="s">
        <v>240</v>
      </c>
      <c r="C1052" t="s">
        <v>31</v>
      </c>
      <c r="D1052" t="s">
        <v>68</v>
      </c>
      <c r="E1052" t="s">
        <v>19</v>
      </c>
      <c r="F1052" t="s">
        <v>68</v>
      </c>
      <c r="G1052" t="s">
        <v>19</v>
      </c>
      <c r="H1052" t="s">
        <v>66</v>
      </c>
      <c r="I1052" t="s">
        <v>19</v>
      </c>
      <c r="J1052" t="s">
        <v>74</v>
      </c>
      <c r="K1052" s="21" t="s">
        <v>607</v>
      </c>
      <c r="L1052" s="5" t="s">
        <v>19</v>
      </c>
      <c r="M1052" s="5" t="s">
        <v>19</v>
      </c>
      <c r="N1052" s="5" t="s">
        <v>19</v>
      </c>
      <c r="O1052" s="5" t="str">
        <f>HYPERLINK("http://www.lghausys.co.kr/popup/rn/download/downloadPopup.jsp?from=plwindow&amp;uu=/upload/window/REPORT/LGH-WA20-009.pdf","1등급")</f>
        <v>1등급</v>
      </c>
      <c r="P1052" s="5" t="str">
        <f>HYPERLINK("http://www.lghausys.co.kr/popup/rn/download/downloadPopup.jsp?from=plwindow&amp;uu=/upload/window/REPORT/LGH-WA20-009.pdf","50등급")</f>
        <v>50등급</v>
      </c>
      <c r="Q1052" s="5" t="str">
        <f>HYPERLINK("http://www.lghausys.co.kr/popup/rn/download/downloadPopup.jsp?from=plwindow&amp;uu=/upload/window/REPORT/LGH-WA20-009.pdf","400등급")</f>
        <v>400등급</v>
      </c>
      <c r="R1052" s="5" t="s">
        <v>19</v>
      </c>
      <c r="S1052" s="5" t="s">
        <v>19</v>
      </c>
      <c r="T1052" s="5" t="s">
        <v>19</v>
      </c>
      <c r="U1052" s="5" t="s">
        <v>19</v>
      </c>
      <c r="V1052" s="5" t="s">
        <v>19</v>
      </c>
      <c r="W1052" s="5" t="s">
        <v>152</v>
      </c>
      <c r="X1052"/>
    </row>
    <row r="1053" spans="1:24">
      <c r="A1053" t="s">
        <v>269</v>
      </c>
      <c r="B1053" t="s">
        <v>269</v>
      </c>
      <c r="C1053" t="s">
        <v>31</v>
      </c>
      <c r="D1053" t="s">
        <v>25</v>
      </c>
      <c r="E1053" t="s">
        <v>19</v>
      </c>
      <c r="F1053" t="s">
        <v>19</v>
      </c>
      <c r="G1053" t="s">
        <v>19</v>
      </c>
      <c r="H1053" t="s">
        <v>28</v>
      </c>
      <c r="I1053" t="s">
        <v>19</v>
      </c>
      <c r="J1053" t="s">
        <v>74</v>
      </c>
      <c r="K1053" s="21" t="s">
        <v>607</v>
      </c>
      <c r="L1053" s="5" t="s">
        <v>19</v>
      </c>
      <c r="M1053" s="5" t="s">
        <v>19</v>
      </c>
      <c r="N1053" s="5" t="s">
        <v>19</v>
      </c>
      <c r="O1053" s="5" t="str">
        <f>HYPERLINK("http://www.lghausys.co.kr/popup/rn/download/downloadPopup.jsp?from=plwindow&amp;uu=/upload/window/REPORT/LGH-WA20-010.pdf","1등급")</f>
        <v>1등급</v>
      </c>
      <c r="P1053" s="5" t="str">
        <f>HYPERLINK("http://www.lghausys.co.kr/popup/rn/download/downloadPopup.jsp?from=plwindow&amp;uu=/upload/window/REPORT/LGH-WA20-010.pdf","50등급")</f>
        <v>50등급</v>
      </c>
      <c r="Q1053" s="5" t="str">
        <f>HYPERLINK("http://www.lghausys.co.kr/popup/rn/download/downloadPopup.jsp?from=plwindow&amp;uu=/upload/window/REPORT/LGH-WA20-010.pdf","400등급")</f>
        <v>400등급</v>
      </c>
      <c r="R1053" s="5" t="s">
        <v>19</v>
      </c>
      <c r="S1053" s="5" t="s">
        <v>19</v>
      </c>
      <c r="T1053" s="5" t="s">
        <v>19</v>
      </c>
      <c r="U1053" s="5" t="s">
        <v>19</v>
      </c>
      <c r="V1053" s="5" t="s">
        <v>19</v>
      </c>
      <c r="W1053" s="5" t="s">
        <v>152</v>
      </c>
      <c r="X1053"/>
    </row>
    <row r="1054" spans="1:24">
      <c r="A1054" t="s">
        <v>269</v>
      </c>
      <c r="B1054" t="s">
        <v>269</v>
      </c>
      <c r="C1054" t="s">
        <v>31</v>
      </c>
      <c r="D1054" t="s">
        <v>21</v>
      </c>
      <c r="E1054" t="s">
        <v>19</v>
      </c>
      <c r="F1054" t="s">
        <v>19</v>
      </c>
      <c r="G1054" t="s">
        <v>19</v>
      </c>
      <c r="H1054" t="s">
        <v>21</v>
      </c>
      <c r="I1054" t="s">
        <v>19</v>
      </c>
      <c r="J1054" t="s">
        <v>74</v>
      </c>
      <c r="K1054" s="21" t="s">
        <v>607</v>
      </c>
      <c r="L1054" s="5" t="s">
        <v>19</v>
      </c>
      <c r="M1054" s="5" t="s">
        <v>19</v>
      </c>
      <c r="N1054" s="5" t="s">
        <v>19</v>
      </c>
      <c r="O1054" s="5" t="str">
        <f>HYPERLINK("http://www.lghausys.co.kr/popup/rn/download/downloadPopup.jsp?from=plwindow&amp;uu=/upload/window/REPORT/LGH-WA20-011.pdf","1등급")</f>
        <v>1등급</v>
      </c>
      <c r="P1054" s="5" t="str">
        <f>HYPERLINK("http://www.lghausys.co.kr/popup/rn/download/downloadPopup.jsp?from=plwindow&amp;uu=/upload/window/REPORT/LGH-WA20-011.pdf","50등급")</f>
        <v>50등급</v>
      </c>
      <c r="Q1054" s="5" t="str">
        <f>HYPERLINK("http://www.lghausys.co.kr/popup/rn/download/downloadPopup.jsp?from=plwindow&amp;uu=/upload/window/REPORT/LGH-WA20-011.pdf","400등급")</f>
        <v>400등급</v>
      </c>
      <c r="R1054" s="5" t="s">
        <v>19</v>
      </c>
      <c r="S1054" s="5" t="s">
        <v>19</v>
      </c>
      <c r="T1054" s="5" t="s">
        <v>19</v>
      </c>
      <c r="U1054" s="5" t="s">
        <v>19</v>
      </c>
      <c r="V1054" s="5" t="s">
        <v>19</v>
      </c>
      <c r="W1054" s="5" t="s">
        <v>152</v>
      </c>
      <c r="X1054"/>
    </row>
    <row r="1055" spans="1:24">
      <c r="A1055" t="s">
        <v>52</v>
      </c>
      <c r="B1055" t="s">
        <v>52</v>
      </c>
      <c r="C1055" t="s">
        <v>34</v>
      </c>
      <c r="D1055" t="s">
        <v>68</v>
      </c>
      <c r="E1055" t="s">
        <v>19</v>
      </c>
      <c r="F1055" t="s">
        <v>19</v>
      </c>
      <c r="G1055" t="s">
        <v>19</v>
      </c>
      <c r="H1055" t="s">
        <v>66</v>
      </c>
      <c r="I1055" t="s">
        <v>19</v>
      </c>
      <c r="J1055" t="s">
        <v>145</v>
      </c>
      <c r="K1055" s="21" t="s">
        <v>607</v>
      </c>
      <c r="L1055" s="5" t="s">
        <v>19</v>
      </c>
      <c r="M1055" s="5" t="s">
        <v>19</v>
      </c>
      <c r="N1055" s="5" t="str">
        <f>HYPERLINK("http://www.lghausys.co.kr/popup/rn/download/downloadPopup.jsp?from=plwindow&amp;uu=/upload/window/REPORT/LGH-TA20-012.pdf","0.958")</f>
        <v>0.958</v>
      </c>
      <c r="O1055" s="5" t="s">
        <v>19</v>
      </c>
      <c r="P1055" s="5" t="s">
        <v>19</v>
      </c>
      <c r="Q1055" s="5" t="s">
        <v>19</v>
      </c>
      <c r="R1055" s="5" t="s">
        <v>19</v>
      </c>
      <c r="S1055" s="5" t="s">
        <v>19</v>
      </c>
      <c r="T1055" s="5" t="s">
        <v>19</v>
      </c>
      <c r="U1055" s="5" t="s">
        <v>19</v>
      </c>
      <c r="V1055" s="5" t="s">
        <v>19</v>
      </c>
      <c r="W1055" s="5" t="s">
        <v>75</v>
      </c>
      <c r="X1055"/>
    </row>
    <row r="1056" spans="1:24">
      <c r="A1056" t="s">
        <v>72</v>
      </c>
      <c r="B1056" t="s">
        <v>72</v>
      </c>
      <c r="C1056" t="s">
        <v>34</v>
      </c>
      <c r="D1056" t="s">
        <v>235</v>
      </c>
      <c r="E1056" t="s">
        <v>19</v>
      </c>
      <c r="F1056" t="s">
        <v>19</v>
      </c>
      <c r="G1056" t="s">
        <v>19</v>
      </c>
      <c r="H1056" t="s">
        <v>19</v>
      </c>
      <c r="I1056" t="s">
        <v>19</v>
      </c>
      <c r="J1056" t="s">
        <v>74</v>
      </c>
      <c r="K1056" s="21" t="s">
        <v>607</v>
      </c>
      <c r="L1056" s="5" t="s">
        <v>19</v>
      </c>
      <c r="M1056" s="5" t="s">
        <v>19</v>
      </c>
      <c r="N1056" s="5" t="str">
        <f>HYPERLINK("http://www.lghausys.co.kr/popup/rn/download/downloadPopup.jsp?from=plwindow&amp;uu=/upload/window/REPORT/LGH-TA20-019.pdf","1.961")</f>
        <v>1.961</v>
      </c>
      <c r="O1056" s="5" t="s">
        <v>19</v>
      </c>
      <c r="P1056" s="5" t="s">
        <v>19</v>
      </c>
      <c r="Q1056" s="5" t="s">
        <v>19</v>
      </c>
      <c r="R1056" s="5" t="s">
        <v>19</v>
      </c>
      <c r="S1056" s="5" t="s">
        <v>19</v>
      </c>
      <c r="T1056" s="5" t="s">
        <v>19</v>
      </c>
      <c r="U1056" s="5" t="s">
        <v>19</v>
      </c>
      <c r="V1056" s="5" t="s">
        <v>19</v>
      </c>
      <c r="W1056" s="5" t="s">
        <v>75</v>
      </c>
      <c r="X1056"/>
    </row>
    <row r="1057" spans="1:24">
      <c r="A1057" t="s">
        <v>72</v>
      </c>
      <c r="B1057" t="s">
        <v>72</v>
      </c>
      <c r="C1057" t="s">
        <v>34</v>
      </c>
      <c r="D1057" t="s">
        <v>241</v>
      </c>
      <c r="E1057" t="s">
        <v>19</v>
      </c>
      <c r="F1057" t="s">
        <v>19</v>
      </c>
      <c r="G1057" t="s">
        <v>19</v>
      </c>
      <c r="H1057" t="s">
        <v>19</v>
      </c>
      <c r="I1057" t="s">
        <v>19</v>
      </c>
      <c r="J1057" t="s">
        <v>74</v>
      </c>
      <c r="K1057" s="21" t="s">
        <v>607</v>
      </c>
      <c r="L1057" s="5" t="s">
        <v>19</v>
      </c>
      <c r="M1057" s="5" t="s">
        <v>19</v>
      </c>
      <c r="N1057" s="5" t="str">
        <f>HYPERLINK("http://www.lghausys.co.kr/popup/rn/download/downloadPopup.jsp?from=plwindow&amp;uu=/upload/window/REPORT/LGH-TA20-020.pdf","2.083")</f>
        <v>2.083</v>
      </c>
      <c r="O1057" s="5" t="s">
        <v>19</v>
      </c>
      <c r="P1057" s="5" t="s">
        <v>19</v>
      </c>
      <c r="Q1057" s="5" t="s">
        <v>19</v>
      </c>
      <c r="R1057" s="5" t="s">
        <v>19</v>
      </c>
      <c r="S1057" s="5" t="s">
        <v>19</v>
      </c>
      <c r="T1057" s="5" t="s">
        <v>19</v>
      </c>
      <c r="U1057" s="5" t="s">
        <v>19</v>
      </c>
      <c r="V1057" s="5" t="s">
        <v>19</v>
      </c>
      <c r="W1057" s="5" t="s">
        <v>75</v>
      </c>
      <c r="X1057"/>
    </row>
    <row r="1058" spans="1:24">
      <c r="A1058" t="s">
        <v>225</v>
      </c>
      <c r="B1058" t="s">
        <v>225</v>
      </c>
      <c r="C1058" t="s">
        <v>34</v>
      </c>
      <c r="D1058" t="s">
        <v>235</v>
      </c>
      <c r="E1058" t="s">
        <v>19</v>
      </c>
      <c r="F1058" t="s">
        <v>19</v>
      </c>
      <c r="G1058" t="s">
        <v>19</v>
      </c>
      <c r="H1058" t="s">
        <v>19</v>
      </c>
      <c r="I1058" t="s">
        <v>19</v>
      </c>
      <c r="J1058" t="s">
        <v>74</v>
      </c>
      <c r="K1058" s="21" t="s">
        <v>607</v>
      </c>
      <c r="L1058" s="5" t="s">
        <v>19</v>
      </c>
      <c r="M1058" s="5" t="s">
        <v>19</v>
      </c>
      <c r="N1058" s="5" t="str">
        <f>HYPERLINK("http://www.lghausys.co.kr/popup/rn/download/downloadPopup.jsp?from=plwindow&amp;uu=/upload/window/REPORT/LGH-TA20-021.pdf","1.953")</f>
        <v>1.953</v>
      </c>
      <c r="O1058" s="5" t="s">
        <v>19</v>
      </c>
      <c r="P1058" s="5" t="s">
        <v>19</v>
      </c>
      <c r="Q1058" s="5" t="s">
        <v>19</v>
      </c>
      <c r="R1058" s="5" t="s">
        <v>19</v>
      </c>
      <c r="S1058" s="5" t="s">
        <v>19</v>
      </c>
      <c r="T1058" s="5" t="s">
        <v>19</v>
      </c>
      <c r="U1058" s="5" t="s">
        <v>19</v>
      </c>
      <c r="V1058" s="5" t="s">
        <v>19</v>
      </c>
      <c r="W1058" s="5" t="s">
        <v>75</v>
      </c>
      <c r="X1058"/>
    </row>
    <row r="1059" spans="1:24">
      <c r="A1059" t="s">
        <v>224</v>
      </c>
      <c r="B1059" t="s">
        <v>224</v>
      </c>
      <c r="C1059" t="s">
        <v>34</v>
      </c>
      <c r="D1059" t="s">
        <v>241</v>
      </c>
      <c r="E1059" t="s">
        <v>19</v>
      </c>
      <c r="F1059" t="s">
        <v>19</v>
      </c>
      <c r="G1059" t="s">
        <v>19</v>
      </c>
      <c r="H1059" t="s">
        <v>19</v>
      </c>
      <c r="I1059" t="s">
        <v>19</v>
      </c>
      <c r="J1059" t="s">
        <v>74</v>
      </c>
      <c r="K1059" s="21" t="s">
        <v>607</v>
      </c>
      <c r="L1059" s="5" t="s">
        <v>19</v>
      </c>
      <c r="M1059" s="5" t="s">
        <v>19</v>
      </c>
      <c r="N1059" s="5" t="str">
        <f>HYPERLINK("http://www.lghausys.co.kr/popup/rn/download/downloadPopup.jsp?from=plwindow&amp;uu=/upload/window/REPORT/LGH-TA20-022.pdf","2.169")</f>
        <v>2.169</v>
      </c>
      <c r="O1059" s="5" t="s">
        <v>19</v>
      </c>
      <c r="P1059" s="5" t="s">
        <v>19</v>
      </c>
      <c r="Q1059" s="5" t="s">
        <v>19</v>
      </c>
      <c r="R1059" s="5" t="s">
        <v>19</v>
      </c>
      <c r="S1059" s="5" t="s">
        <v>19</v>
      </c>
      <c r="T1059" s="5" t="s">
        <v>19</v>
      </c>
      <c r="U1059" s="5" t="s">
        <v>19</v>
      </c>
      <c r="V1059" s="5" t="s">
        <v>19</v>
      </c>
      <c r="W1059" s="5" t="s">
        <v>75</v>
      </c>
      <c r="X1059"/>
    </row>
    <row r="1060" spans="1:24">
      <c r="A1060" t="s">
        <v>72</v>
      </c>
      <c r="B1060" t="s">
        <v>72</v>
      </c>
      <c r="C1060" t="s">
        <v>34</v>
      </c>
      <c r="D1060" t="s">
        <v>165</v>
      </c>
      <c r="E1060" t="s">
        <v>19</v>
      </c>
      <c r="F1060" t="s">
        <v>19</v>
      </c>
      <c r="G1060" t="s">
        <v>19</v>
      </c>
      <c r="H1060" t="s">
        <v>19</v>
      </c>
      <c r="I1060" t="s">
        <v>19</v>
      </c>
      <c r="J1060" t="s">
        <v>74</v>
      </c>
      <c r="K1060" s="21" t="s">
        <v>607</v>
      </c>
      <c r="L1060" s="5" t="s">
        <v>19</v>
      </c>
      <c r="M1060" s="5" t="s">
        <v>19</v>
      </c>
      <c r="N1060" s="5" t="str">
        <f>HYPERLINK("http://www.lghausys.co.kr/popup/rn/download/downloadPopup.jsp?from=plwindow&amp;uu=/upload/window/REPORT/LGH-TA20-023.pdf","2.024")</f>
        <v>2.024</v>
      </c>
      <c r="O1060" s="5" t="s">
        <v>19</v>
      </c>
      <c r="P1060" s="5" t="s">
        <v>19</v>
      </c>
      <c r="Q1060" s="5" t="s">
        <v>19</v>
      </c>
      <c r="R1060" s="5" t="s">
        <v>19</v>
      </c>
      <c r="S1060" s="5" t="s">
        <v>19</v>
      </c>
      <c r="T1060" s="5" t="s">
        <v>19</v>
      </c>
      <c r="U1060" s="5" t="s">
        <v>19</v>
      </c>
      <c r="V1060" s="5" t="s">
        <v>19</v>
      </c>
      <c r="W1060" s="5" t="s">
        <v>75</v>
      </c>
      <c r="X1060"/>
    </row>
    <row r="1061" spans="1:24">
      <c r="A1061" t="s">
        <v>269</v>
      </c>
      <c r="B1061" t="s">
        <v>269</v>
      </c>
      <c r="C1061" t="s">
        <v>34</v>
      </c>
      <c r="D1061" t="s">
        <v>25</v>
      </c>
      <c r="E1061" t="s">
        <v>19</v>
      </c>
      <c r="F1061" t="s">
        <v>19</v>
      </c>
      <c r="G1061" t="s">
        <v>19</v>
      </c>
      <c r="H1061" t="s">
        <v>28</v>
      </c>
      <c r="I1061" t="s">
        <v>19</v>
      </c>
      <c r="J1061" t="s">
        <v>74</v>
      </c>
      <c r="K1061" s="21" t="s">
        <v>607</v>
      </c>
      <c r="L1061" s="5" t="s">
        <v>19</v>
      </c>
      <c r="M1061" s="5" t="s">
        <v>19</v>
      </c>
      <c r="N1061" s="5" t="str">
        <f>HYPERLINK("http://www.lghausys.co.kr/popup/rn/download/downloadPopup.jsp?from=plwindow&amp;uu=/upload/window/REPORT/LGH-TA20-024.pdf","1.071")</f>
        <v>1.071</v>
      </c>
      <c r="O1061" s="5" t="s">
        <v>19</v>
      </c>
      <c r="P1061" s="5" t="s">
        <v>19</v>
      </c>
      <c r="Q1061" s="5" t="s">
        <v>19</v>
      </c>
      <c r="R1061" s="5" t="s">
        <v>19</v>
      </c>
      <c r="S1061" s="5" t="s">
        <v>19</v>
      </c>
      <c r="T1061" s="5" t="s">
        <v>19</v>
      </c>
      <c r="U1061" s="5" t="s">
        <v>19</v>
      </c>
      <c r="V1061" s="5" t="s">
        <v>19</v>
      </c>
      <c r="W1061" s="5" t="s">
        <v>75</v>
      </c>
      <c r="X1061"/>
    </row>
    <row r="1062" spans="1:24">
      <c r="A1062" t="s">
        <v>269</v>
      </c>
      <c r="B1062" t="s">
        <v>269</v>
      </c>
      <c r="C1062" t="s">
        <v>34</v>
      </c>
      <c r="D1062" t="s">
        <v>21</v>
      </c>
      <c r="E1062" t="s">
        <v>19</v>
      </c>
      <c r="F1062" t="s">
        <v>19</v>
      </c>
      <c r="G1062" t="s">
        <v>19</v>
      </c>
      <c r="H1062" t="s">
        <v>21</v>
      </c>
      <c r="I1062" t="s">
        <v>19</v>
      </c>
      <c r="J1062" t="s">
        <v>74</v>
      </c>
      <c r="K1062" s="21" t="s">
        <v>607</v>
      </c>
      <c r="L1062" s="5" t="s">
        <v>19</v>
      </c>
      <c r="M1062" s="5" t="s">
        <v>19</v>
      </c>
      <c r="N1062" s="5" t="str">
        <f>HYPERLINK("http://www.lghausys.co.kr/popup/rn/download/downloadPopup.jsp?from=plwindow&amp;uu=/upload/window/REPORT/LGH-TA20-025.pdf","0.767")</f>
        <v>0.767</v>
      </c>
      <c r="O1062" s="5" t="s">
        <v>19</v>
      </c>
      <c r="P1062" s="5" t="s">
        <v>19</v>
      </c>
      <c r="Q1062" s="5" t="s">
        <v>19</v>
      </c>
      <c r="R1062" s="5" t="s">
        <v>19</v>
      </c>
      <c r="S1062" s="5" t="s">
        <v>19</v>
      </c>
      <c r="T1062" s="5" t="s">
        <v>19</v>
      </c>
      <c r="U1062" s="5" t="s">
        <v>19</v>
      </c>
      <c r="V1062" s="5" t="s">
        <v>19</v>
      </c>
      <c r="W1062" s="5" t="s">
        <v>75</v>
      </c>
      <c r="X1062"/>
    </row>
    <row r="1063" spans="1:24">
      <c r="A1063" t="s">
        <v>100</v>
      </c>
      <c r="B1063" t="s">
        <v>100</v>
      </c>
      <c r="C1063" t="s">
        <v>14</v>
      </c>
      <c r="D1063" t="s">
        <v>25</v>
      </c>
      <c r="E1063" t="s">
        <v>19</v>
      </c>
      <c r="F1063" t="s">
        <v>19</v>
      </c>
      <c r="G1063" t="s">
        <v>19</v>
      </c>
      <c r="H1063" t="s">
        <v>53</v>
      </c>
      <c r="I1063" t="s">
        <v>19</v>
      </c>
      <c r="J1063" t="s">
        <v>97</v>
      </c>
      <c r="K1063" s="21" t="s">
        <v>607</v>
      </c>
      <c r="L1063" s="5" t="s">
        <v>19</v>
      </c>
      <c r="M1063" s="5" t="s">
        <v>19</v>
      </c>
      <c r="N1063" s="5" t="s">
        <v>19</v>
      </c>
      <c r="O1063" s="5" t="s">
        <v>19</v>
      </c>
      <c r="P1063" s="5" t="s">
        <v>19</v>
      </c>
      <c r="Q1063" s="5" t="s">
        <v>19</v>
      </c>
      <c r="R1063" s="5" t="s">
        <v>19</v>
      </c>
      <c r="S1063" s="5" t="s">
        <v>19</v>
      </c>
      <c r="T1063" s="5" t="str">
        <f>HYPERLINK("http://www.lghausys.co.kr/popup/rn/download/downloadPopup.jsp?from=plwindow&amp;uu=/upload/window/REPORT/LGH-DA20-001.pdf","결로발생없음")</f>
        <v>결로발생없음</v>
      </c>
      <c r="U1063" s="5" t="s">
        <v>19</v>
      </c>
      <c r="V1063" s="5" t="s">
        <v>19</v>
      </c>
      <c r="W1063" s="5" t="s">
        <v>75</v>
      </c>
      <c r="X1063"/>
    </row>
    <row r="1064" spans="1:24">
      <c r="A1064" t="s">
        <v>269</v>
      </c>
      <c r="B1064" t="s">
        <v>269</v>
      </c>
      <c r="C1064" t="s">
        <v>13</v>
      </c>
      <c r="D1064" t="s">
        <v>21</v>
      </c>
      <c r="E1064" t="s">
        <v>19</v>
      </c>
      <c r="F1064" t="s">
        <v>19</v>
      </c>
      <c r="G1064" t="s">
        <v>19</v>
      </c>
      <c r="H1064" t="s">
        <v>21</v>
      </c>
      <c r="I1064" t="s">
        <v>19</v>
      </c>
      <c r="J1064" t="s">
        <v>74</v>
      </c>
      <c r="K1064" s="21" t="s">
        <v>607</v>
      </c>
      <c r="L1064" s="5" t="s">
        <v>19</v>
      </c>
      <c r="M1064" s="5" t="s">
        <v>19</v>
      </c>
      <c r="N1064" s="5" t="s">
        <v>19</v>
      </c>
      <c r="O1064" s="5" t="s">
        <v>19</v>
      </c>
      <c r="P1064" s="5" t="s">
        <v>19</v>
      </c>
      <c r="Q1064" s="5" t="s">
        <v>19</v>
      </c>
      <c r="R1064" s="5" t="s">
        <v>19</v>
      </c>
      <c r="S1064" s="5" t="str">
        <f>HYPERLINK("http://www.lghausys.co.kr/popup/rn/download/downloadPopup.jsp?from=plwindow&amp;uu=/upload/window/REPORT/LGH-DA20-002.pdf","결로발생없음")</f>
        <v>결로발생없음</v>
      </c>
      <c r="T1064" s="5" t="s">
        <v>19</v>
      </c>
      <c r="U1064" s="5" t="s">
        <v>19</v>
      </c>
      <c r="V1064" s="5" t="s">
        <v>19</v>
      </c>
      <c r="W1064" s="5" t="s">
        <v>75</v>
      </c>
      <c r="X1064"/>
    </row>
    <row r="1065" spans="1:24">
      <c r="A1065" t="s">
        <v>269</v>
      </c>
      <c r="B1065" t="s">
        <v>269</v>
      </c>
      <c r="C1065" t="s">
        <v>14</v>
      </c>
      <c r="D1065" t="s">
        <v>25</v>
      </c>
      <c r="E1065" t="s">
        <v>19</v>
      </c>
      <c r="F1065" t="s">
        <v>19</v>
      </c>
      <c r="G1065" t="s">
        <v>19</v>
      </c>
      <c r="H1065" t="s">
        <v>28</v>
      </c>
      <c r="I1065" t="s">
        <v>19</v>
      </c>
      <c r="J1065" t="s">
        <v>74</v>
      </c>
      <c r="K1065" s="21" t="s">
        <v>607</v>
      </c>
      <c r="L1065" s="5" t="s">
        <v>19</v>
      </c>
      <c r="M1065" s="5" t="s">
        <v>19</v>
      </c>
      <c r="N1065" s="5" t="s">
        <v>19</v>
      </c>
      <c r="O1065" s="5" t="s">
        <v>19</v>
      </c>
      <c r="P1065" s="5" t="s">
        <v>19</v>
      </c>
      <c r="Q1065" s="5" t="s">
        <v>19</v>
      </c>
      <c r="R1065" s="5" t="s">
        <v>19</v>
      </c>
      <c r="S1065" s="5" t="s">
        <v>19</v>
      </c>
      <c r="T1065" s="5" t="str">
        <f>HYPERLINK("http://www.lghausys.co.kr/popup/rn/download/downloadPopup.jsp?from=plwindow&amp;uu=/upload/window/REPORT/LGH-DA20-003.pdf","결로발생없음")</f>
        <v>결로발생없음</v>
      </c>
      <c r="U1065" s="5" t="s">
        <v>19</v>
      </c>
      <c r="V1065" s="5" t="s">
        <v>19</v>
      </c>
      <c r="W1065" s="5" t="s">
        <v>75</v>
      </c>
      <c r="X1065"/>
    </row>
    <row r="1066" spans="1:24">
      <c r="A1066" t="s">
        <v>73</v>
      </c>
      <c r="B1066" t="s">
        <v>73</v>
      </c>
      <c r="C1066" t="s">
        <v>15</v>
      </c>
      <c r="D1066" t="s">
        <v>28</v>
      </c>
      <c r="E1066" t="s">
        <v>19</v>
      </c>
      <c r="F1066" t="s">
        <v>19</v>
      </c>
      <c r="G1066" t="s">
        <v>19</v>
      </c>
      <c r="H1066" t="s">
        <v>25</v>
      </c>
      <c r="I1066" t="s">
        <v>19</v>
      </c>
      <c r="J1066" t="s">
        <v>145</v>
      </c>
      <c r="K1066" s="21" t="s">
        <v>607</v>
      </c>
      <c r="L1066" s="5" t="s">
        <v>19</v>
      </c>
      <c r="M1066" s="5" t="s">
        <v>19</v>
      </c>
      <c r="N1066" s="5" t="s">
        <v>19</v>
      </c>
      <c r="O1066" s="5" t="s">
        <v>19</v>
      </c>
      <c r="P1066" s="5" t="s">
        <v>19</v>
      </c>
      <c r="Q1066" s="5" t="s">
        <v>19</v>
      </c>
      <c r="R1066" s="5" t="s">
        <v>19</v>
      </c>
      <c r="S1066" s="5" t="s">
        <v>19</v>
      </c>
      <c r="T1066" s="5" t="s">
        <v>19</v>
      </c>
      <c r="U1066" s="5" t="str">
        <f>HYPERLINK("http://www.lghausys.co.kr/popup/rn/download/downloadPopup.jsp?from=plwindow&amp;uu=/upload/window/REPORT/LGH-DA20-004.pdf","결로발생없음")</f>
        <v>결로발생없음</v>
      </c>
      <c r="V1066" s="5" t="s">
        <v>19</v>
      </c>
      <c r="W1066" s="5" t="s">
        <v>75</v>
      </c>
      <c r="X1066"/>
    </row>
    <row r="1067" spans="1:24">
      <c r="A1067" t="s">
        <v>73</v>
      </c>
      <c r="B1067" t="s">
        <v>73</v>
      </c>
      <c r="C1067" t="s">
        <v>263</v>
      </c>
      <c r="D1067" t="s">
        <v>19</v>
      </c>
      <c r="E1067" t="s">
        <v>19</v>
      </c>
      <c r="F1067" t="s">
        <v>19</v>
      </c>
      <c r="G1067" t="s">
        <v>19</v>
      </c>
      <c r="H1067" t="s">
        <v>19</v>
      </c>
      <c r="I1067" t="s">
        <v>19</v>
      </c>
      <c r="J1067" t="s">
        <v>19</v>
      </c>
      <c r="K1067" s="21" t="s">
        <v>607</v>
      </c>
      <c r="L1067" s="5" t="s">
        <v>19</v>
      </c>
      <c r="M1067" s="5" t="s">
        <v>19</v>
      </c>
      <c r="N1067" s="5" t="s">
        <v>19</v>
      </c>
      <c r="O1067" s="5" t="s">
        <v>19</v>
      </c>
      <c r="P1067" s="5" t="s">
        <v>19</v>
      </c>
      <c r="Q1067" s="5" t="s">
        <v>19</v>
      </c>
      <c r="R1067" s="5" t="s">
        <v>19</v>
      </c>
      <c r="S1067" s="5" t="s">
        <v>19</v>
      </c>
      <c r="T1067" s="5" t="s">
        <v>19</v>
      </c>
      <c r="U1067" s="5" t="s">
        <v>19</v>
      </c>
      <c r="V1067" s="5" t="str">
        <f>HYPERLINK("http://www.lghausys.co.kr/popup/rn/download/downloadPopup.jsp?from=plwindow&amp;uu=/upload/window/REPORT/CT19-114951K.pdf","PASS")</f>
        <v>PASS</v>
      </c>
      <c r="W1067" s="5" t="s">
        <v>19</v>
      </c>
      <c r="X1067"/>
    </row>
    <row r="1068" spans="1:24">
      <c r="A1068" t="s">
        <v>73</v>
      </c>
      <c r="B1068" t="s">
        <v>73</v>
      </c>
      <c r="C1068" t="s">
        <v>31</v>
      </c>
      <c r="D1068" t="s">
        <v>21</v>
      </c>
      <c r="E1068" t="s">
        <v>19</v>
      </c>
      <c r="F1068" t="s">
        <v>19</v>
      </c>
      <c r="G1068" t="s">
        <v>19</v>
      </c>
      <c r="H1068" t="s">
        <v>21</v>
      </c>
      <c r="I1068" t="s">
        <v>19</v>
      </c>
      <c r="J1068" t="s">
        <v>74</v>
      </c>
      <c r="K1068" s="21" t="s">
        <v>607</v>
      </c>
      <c r="L1068" s="5" t="s">
        <v>19</v>
      </c>
      <c r="M1068" s="5" t="s">
        <v>19</v>
      </c>
      <c r="N1068" s="5" t="s">
        <v>19</v>
      </c>
      <c r="O1068" s="5" t="str">
        <f>HYPERLINK("http://www.lghausys.co.kr/popup/rn/download/downloadPopup.jsp?from=plwindow&amp;uu=/upload/window/REPORT/LGH-WA20-012.pdf","1등급")</f>
        <v>1등급</v>
      </c>
      <c r="P1068" s="5" t="s">
        <v>19</v>
      </c>
      <c r="Q1068" s="5" t="s">
        <v>19</v>
      </c>
      <c r="R1068" s="5" t="s">
        <v>19</v>
      </c>
      <c r="S1068" s="5" t="s">
        <v>19</v>
      </c>
      <c r="T1068" s="5" t="s">
        <v>19</v>
      </c>
      <c r="U1068" s="5" t="s">
        <v>19</v>
      </c>
      <c r="V1068" s="5" t="s">
        <v>19</v>
      </c>
      <c r="W1068" s="5" t="s">
        <v>152</v>
      </c>
      <c r="X1068"/>
    </row>
    <row r="1069" spans="1:24">
      <c r="A1069" t="s">
        <v>127</v>
      </c>
      <c r="B1069" t="s">
        <v>127</v>
      </c>
      <c r="C1069" t="s">
        <v>31</v>
      </c>
      <c r="D1069" t="s">
        <v>25</v>
      </c>
      <c r="E1069" t="s">
        <v>158</v>
      </c>
      <c r="F1069" t="s">
        <v>19</v>
      </c>
      <c r="G1069" t="s">
        <v>182</v>
      </c>
      <c r="H1069" t="s">
        <v>19</v>
      </c>
      <c r="I1069" t="s">
        <v>19</v>
      </c>
      <c r="J1069" t="s">
        <v>97</v>
      </c>
      <c r="K1069" s="21" t="s">
        <v>607</v>
      </c>
      <c r="L1069" s="5" t="s">
        <v>19</v>
      </c>
      <c r="M1069" s="5" t="s">
        <v>19</v>
      </c>
      <c r="N1069" s="5" t="s">
        <v>19</v>
      </c>
      <c r="O1069" s="5" t="str">
        <f>HYPERLINK("http://www.lghausys.co.kr/popup/rn/download/downloadPopup.jsp?from=plwindow&amp;uu=/upload/window/REPORT/LGH-WA20-014.pdf","2등급")</f>
        <v>2등급</v>
      </c>
      <c r="P1069" s="5" t="s">
        <v>19</v>
      </c>
      <c r="Q1069" s="5" t="s">
        <v>19</v>
      </c>
      <c r="R1069" s="5" t="s">
        <v>19</v>
      </c>
      <c r="S1069" s="5" t="s">
        <v>19</v>
      </c>
      <c r="T1069" s="5" t="s">
        <v>19</v>
      </c>
      <c r="U1069" s="5" t="s">
        <v>19</v>
      </c>
      <c r="V1069" s="5" t="s">
        <v>19</v>
      </c>
      <c r="W1069" s="5" t="s">
        <v>152</v>
      </c>
      <c r="X1069"/>
    </row>
    <row r="1070" spans="1:24">
      <c r="A1070" t="s">
        <v>139</v>
      </c>
      <c r="B1070" t="s">
        <v>139</v>
      </c>
      <c r="C1070" t="s">
        <v>31</v>
      </c>
      <c r="D1070" t="s">
        <v>25</v>
      </c>
      <c r="E1070" t="s">
        <v>158</v>
      </c>
      <c r="F1070" t="s">
        <v>19</v>
      </c>
      <c r="G1070" t="s">
        <v>182</v>
      </c>
      <c r="H1070" t="s">
        <v>28</v>
      </c>
      <c r="I1070" t="s">
        <v>19</v>
      </c>
      <c r="J1070" t="s">
        <v>97</v>
      </c>
      <c r="K1070" s="21" t="s">
        <v>607</v>
      </c>
      <c r="L1070" s="5" t="s">
        <v>19</v>
      </c>
      <c r="M1070" s="5" t="s">
        <v>19</v>
      </c>
      <c r="N1070" s="5" t="s">
        <v>19</v>
      </c>
      <c r="O1070" s="5" t="str">
        <f>HYPERLINK("http://www.lghausys.co.kr/popup/rn/download/downloadPopup.jsp?from=plwindow&amp;uu=/upload/window/REPORT/LGH-WA20-015.pdf","1등급")</f>
        <v>1등급</v>
      </c>
      <c r="P1070" s="5" t="s">
        <v>19</v>
      </c>
      <c r="Q1070" s="5" t="s">
        <v>19</v>
      </c>
      <c r="R1070" s="5" t="s">
        <v>19</v>
      </c>
      <c r="S1070" s="5" t="s">
        <v>19</v>
      </c>
      <c r="T1070" s="5" t="s">
        <v>19</v>
      </c>
      <c r="U1070" s="5" t="s">
        <v>19</v>
      </c>
      <c r="V1070" s="5" t="s">
        <v>19</v>
      </c>
      <c r="W1070" s="5" t="s">
        <v>152</v>
      </c>
      <c r="X1070"/>
    </row>
    <row r="1071" spans="1:24">
      <c r="A1071" t="s">
        <v>73</v>
      </c>
      <c r="B1071" t="s">
        <v>73</v>
      </c>
      <c r="C1071" t="s">
        <v>31</v>
      </c>
      <c r="D1071" t="s">
        <v>25</v>
      </c>
      <c r="E1071" t="s">
        <v>19</v>
      </c>
      <c r="F1071" t="s">
        <v>19</v>
      </c>
      <c r="G1071" t="s">
        <v>19</v>
      </c>
      <c r="H1071" t="s">
        <v>28</v>
      </c>
      <c r="I1071" t="s">
        <v>19</v>
      </c>
      <c r="J1071" t="s">
        <v>145</v>
      </c>
      <c r="K1071" s="21" t="s">
        <v>607</v>
      </c>
      <c r="L1071" s="5" t="s">
        <v>19</v>
      </c>
      <c r="M1071" s="5" t="s">
        <v>19</v>
      </c>
      <c r="N1071" s="5" t="s">
        <v>19</v>
      </c>
      <c r="O1071" s="5" t="str">
        <f>HYPERLINK("http://www.lghausys.co.kr/popup/rn/download/downloadPopup.jsp?from=plwindow&amp;uu=/upload/window/REPORT/LGH-WA20-017.pdf","1등급")</f>
        <v>1등급</v>
      </c>
      <c r="P1071" s="5" t="str">
        <f>HYPERLINK("http://www.lghausys.co.kr/popup/rn/download/downloadPopup.jsp?from=plwindow&amp;uu=/upload/window/REPORT/LGH-WA20-017.pdf","50등급")</f>
        <v>50등급</v>
      </c>
      <c r="Q1071" s="5" t="str">
        <f>HYPERLINK("http://www.lghausys.co.kr/popup/rn/download/downloadPopup.jsp?from=plwindow&amp;uu=/upload/window/REPORT/LGH-WA20-017.pdf","360등급")</f>
        <v>360등급</v>
      </c>
      <c r="R1071" s="5" t="s">
        <v>19</v>
      </c>
      <c r="S1071" s="5" t="s">
        <v>19</v>
      </c>
      <c r="T1071" s="5" t="s">
        <v>19</v>
      </c>
      <c r="U1071" s="5" t="s">
        <v>19</v>
      </c>
      <c r="V1071" s="5" t="s">
        <v>19</v>
      </c>
      <c r="W1071" s="5" t="s">
        <v>152</v>
      </c>
      <c r="X1071"/>
    </row>
    <row r="1072" spans="1:24">
      <c r="A1072" t="s">
        <v>266</v>
      </c>
      <c r="B1072" t="s">
        <v>266</v>
      </c>
      <c r="C1072" t="s">
        <v>34</v>
      </c>
      <c r="D1072" t="s">
        <v>241</v>
      </c>
      <c r="E1072" t="s">
        <v>19</v>
      </c>
      <c r="F1072" t="s">
        <v>19</v>
      </c>
      <c r="G1072" t="s">
        <v>19</v>
      </c>
      <c r="H1072" t="s">
        <v>19</v>
      </c>
      <c r="I1072" t="s">
        <v>19</v>
      </c>
      <c r="J1072" t="s">
        <v>97</v>
      </c>
      <c r="K1072" s="21" t="s">
        <v>607</v>
      </c>
      <c r="L1072" s="5" t="s">
        <v>19</v>
      </c>
      <c r="M1072" s="5" t="s">
        <v>19</v>
      </c>
      <c r="N1072" s="5" t="str">
        <f>HYPERLINK("http://www.lghausys.co.kr/popup/rn/download/downloadPopup.jsp?from=plwindow&amp;uu=/upload/window/REPORT/CT19-136926K.pdf","2.083")</f>
        <v>2.083</v>
      </c>
      <c r="O1072" s="5" t="s">
        <v>19</v>
      </c>
      <c r="P1072" s="5" t="s">
        <v>19</v>
      </c>
      <c r="Q1072" s="5" t="s">
        <v>19</v>
      </c>
      <c r="R1072" s="5" t="s">
        <v>19</v>
      </c>
      <c r="S1072" s="5" t="s">
        <v>19</v>
      </c>
      <c r="T1072" s="5" t="s">
        <v>19</v>
      </c>
      <c r="U1072" s="5" t="s">
        <v>19</v>
      </c>
      <c r="V1072" s="5" t="s">
        <v>19</v>
      </c>
      <c r="W1072" s="5" t="s">
        <v>75</v>
      </c>
      <c r="X1072"/>
    </row>
    <row r="1073" spans="1:24">
      <c r="A1073" t="s">
        <v>27</v>
      </c>
      <c r="B1073" t="s">
        <v>27</v>
      </c>
      <c r="C1073" t="s">
        <v>34</v>
      </c>
      <c r="D1073" t="s">
        <v>25</v>
      </c>
      <c r="E1073" t="s">
        <v>178</v>
      </c>
      <c r="F1073" t="s">
        <v>19</v>
      </c>
      <c r="G1073" t="s">
        <v>19</v>
      </c>
      <c r="H1073" t="s">
        <v>241</v>
      </c>
      <c r="I1073" t="s">
        <v>19</v>
      </c>
      <c r="J1073" t="s">
        <v>145</v>
      </c>
      <c r="K1073" s="21" t="s">
        <v>607</v>
      </c>
      <c r="L1073" s="5" t="s">
        <v>19</v>
      </c>
      <c r="M1073" s="5" t="s">
        <v>19</v>
      </c>
      <c r="N1073" s="5" t="str">
        <f>HYPERLINK("http://www.lghausys.co.kr/popup/rn/download/downloadPopup.jsp?from=plwindow&amp;uu=/upload/window/REPORT/CT19-136928K.pdf","1.0209")</f>
        <v>1.0209</v>
      </c>
      <c r="O1073" s="5" t="s">
        <v>19</v>
      </c>
      <c r="P1073" s="5" t="s">
        <v>19</v>
      </c>
      <c r="Q1073" s="5" t="s">
        <v>19</v>
      </c>
      <c r="R1073" s="5" t="s">
        <v>19</v>
      </c>
      <c r="S1073" s="5" t="s">
        <v>19</v>
      </c>
      <c r="T1073" s="5" t="s">
        <v>19</v>
      </c>
      <c r="U1073" s="5" t="s">
        <v>19</v>
      </c>
      <c r="V1073" s="5" t="s">
        <v>19</v>
      </c>
      <c r="W1073" s="5" t="s">
        <v>75</v>
      </c>
      <c r="X1073"/>
    </row>
    <row r="1074" spans="1:24">
      <c r="A1074" t="s">
        <v>73</v>
      </c>
      <c r="B1074" t="s">
        <v>73</v>
      </c>
      <c r="C1074" t="s">
        <v>34</v>
      </c>
      <c r="D1074" t="s">
        <v>21</v>
      </c>
      <c r="E1074" t="s">
        <v>19</v>
      </c>
      <c r="F1074" t="s">
        <v>19</v>
      </c>
      <c r="G1074" t="s">
        <v>19</v>
      </c>
      <c r="H1074" t="s">
        <v>21</v>
      </c>
      <c r="I1074" t="s">
        <v>19</v>
      </c>
      <c r="J1074" t="s">
        <v>74</v>
      </c>
      <c r="K1074" s="21" t="s">
        <v>607</v>
      </c>
      <c r="L1074" s="5" t="s">
        <v>19</v>
      </c>
      <c r="M1074" s="5" t="s">
        <v>19</v>
      </c>
      <c r="N1074" s="5" t="str">
        <f>HYPERLINK("http://www.lghausys.co.kr/popup/rn/download/downloadPopup.jsp?from=plwindow&amp;uu=/upload/window/REPORT/LGH-TA20-035.pdf","0.7859")</f>
        <v>0.7859</v>
      </c>
      <c r="O1074" s="5" t="s">
        <v>19</v>
      </c>
      <c r="P1074" s="5" t="s">
        <v>19</v>
      </c>
      <c r="Q1074" s="5" t="s">
        <v>19</v>
      </c>
      <c r="R1074" s="5" t="s">
        <v>19</v>
      </c>
      <c r="S1074" s="5" t="s">
        <v>19</v>
      </c>
      <c r="T1074" s="5" t="s">
        <v>19</v>
      </c>
      <c r="U1074" s="5" t="s">
        <v>19</v>
      </c>
      <c r="V1074" s="5" t="s">
        <v>19</v>
      </c>
      <c r="W1074" s="5" t="s">
        <v>75</v>
      </c>
      <c r="X1074"/>
    </row>
    <row r="1075" spans="1:24">
      <c r="A1075" t="s">
        <v>95</v>
      </c>
      <c r="B1075" t="s">
        <v>95</v>
      </c>
      <c r="C1075" t="s">
        <v>34</v>
      </c>
      <c r="D1075" t="s">
        <v>25</v>
      </c>
      <c r="E1075" t="s">
        <v>19</v>
      </c>
      <c r="F1075" t="s">
        <v>19</v>
      </c>
      <c r="G1075" t="s">
        <v>19</v>
      </c>
      <c r="H1075" t="s">
        <v>19</v>
      </c>
      <c r="I1075" t="s">
        <v>19</v>
      </c>
      <c r="J1075" t="s">
        <v>99</v>
      </c>
      <c r="K1075" s="21" t="s">
        <v>607</v>
      </c>
      <c r="L1075" s="5" t="s">
        <v>19</v>
      </c>
      <c r="M1075" s="5" t="s">
        <v>19</v>
      </c>
      <c r="N1075" s="5" t="str">
        <f>HYPERLINK("http://www.lghausys.co.kr/popup/rn/download/downloadPopup.jsp?from=plwindow&amp;uu=/upload/window/REPORT/LGH-TA20-065.pdf","2.681")</f>
        <v>2.681</v>
      </c>
      <c r="O1075" s="5" t="s">
        <v>19</v>
      </c>
      <c r="P1075" s="5" t="s">
        <v>19</v>
      </c>
      <c r="Q1075" s="5" t="s">
        <v>19</v>
      </c>
      <c r="R1075" s="5" t="s">
        <v>19</v>
      </c>
      <c r="S1075" s="5" t="s">
        <v>19</v>
      </c>
      <c r="T1075" s="5" t="s">
        <v>19</v>
      </c>
      <c r="U1075" s="5" t="s">
        <v>19</v>
      </c>
      <c r="V1075" s="5" t="s">
        <v>19</v>
      </c>
      <c r="W1075" s="5" t="s">
        <v>75</v>
      </c>
      <c r="X1075"/>
    </row>
    <row r="1076" spans="1:24">
      <c r="A1076" t="s">
        <v>174</v>
      </c>
      <c r="B1076" t="s">
        <v>174</v>
      </c>
      <c r="C1076" t="s">
        <v>34</v>
      </c>
      <c r="D1076" t="s">
        <v>270</v>
      </c>
      <c r="E1076" t="s">
        <v>19</v>
      </c>
      <c r="F1076" t="s">
        <v>19</v>
      </c>
      <c r="G1076" t="s">
        <v>19</v>
      </c>
      <c r="H1076" t="s">
        <v>165</v>
      </c>
      <c r="I1076" t="s">
        <v>19</v>
      </c>
      <c r="J1076" t="s">
        <v>99</v>
      </c>
      <c r="K1076" s="21" t="s">
        <v>607</v>
      </c>
      <c r="L1076" s="5" t="s">
        <v>19</v>
      </c>
      <c r="M1076" s="5" t="s">
        <v>19</v>
      </c>
      <c r="N1076" s="5" t="str">
        <f>HYPERLINK("http://www.lghausys.co.kr/popup/rn/download/downloadPopup.jsp?from=plwindow&amp;uu=/upload/window/REPORT/LGH-TA20-066.pdf","0.842")</f>
        <v>0.842</v>
      </c>
      <c r="O1076" s="5" t="s">
        <v>19</v>
      </c>
      <c r="P1076" s="5" t="s">
        <v>19</v>
      </c>
      <c r="Q1076" s="5" t="s">
        <v>19</v>
      </c>
      <c r="R1076" s="5" t="s">
        <v>19</v>
      </c>
      <c r="S1076" s="5" t="s">
        <v>19</v>
      </c>
      <c r="T1076" s="5" t="s">
        <v>19</v>
      </c>
      <c r="U1076" s="5" t="s">
        <v>19</v>
      </c>
      <c r="V1076" s="5" t="s">
        <v>19</v>
      </c>
      <c r="W1076" s="5" t="s">
        <v>75</v>
      </c>
      <c r="X1076"/>
    </row>
    <row r="1077" spans="1:24">
      <c r="A1077" t="s">
        <v>61</v>
      </c>
      <c r="B1077" t="s">
        <v>61</v>
      </c>
      <c r="C1077" t="s">
        <v>31</v>
      </c>
      <c r="D1077" t="s">
        <v>28</v>
      </c>
      <c r="E1077" t="s">
        <v>19</v>
      </c>
      <c r="F1077" t="s">
        <v>19</v>
      </c>
      <c r="G1077" t="s">
        <v>19</v>
      </c>
      <c r="H1077" t="s">
        <v>19</v>
      </c>
      <c r="I1077" t="s">
        <v>19</v>
      </c>
      <c r="J1077" t="s">
        <v>145</v>
      </c>
      <c r="K1077" s="21" t="s">
        <v>607</v>
      </c>
      <c r="L1077" s="5" t="s">
        <v>19</v>
      </c>
      <c r="M1077" s="5" t="s">
        <v>19</v>
      </c>
      <c r="N1077" s="5" t="s">
        <v>19</v>
      </c>
      <c r="O1077" s="5" t="str">
        <f>HYPERLINK("http://www.lghausys.co.kr/popup/rn/download/downloadPopup.jsp?from=plwindow&amp;uu=/upload/window/REPORT/LGH-WA20-048.pdf","2등급")</f>
        <v>2등급</v>
      </c>
      <c r="P1077" s="5" t="s">
        <v>19</v>
      </c>
      <c r="Q1077" s="5" t="s">
        <v>19</v>
      </c>
      <c r="R1077" s="5" t="s">
        <v>19</v>
      </c>
      <c r="S1077" s="5" t="s">
        <v>19</v>
      </c>
      <c r="T1077" s="5" t="s">
        <v>19</v>
      </c>
      <c r="U1077" s="5" t="s">
        <v>19</v>
      </c>
      <c r="V1077" s="5" t="s">
        <v>19</v>
      </c>
      <c r="W1077" s="5" t="s">
        <v>152</v>
      </c>
      <c r="X1077"/>
    </row>
    <row r="1078" spans="1:24">
      <c r="A1078" t="s">
        <v>73</v>
      </c>
      <c r="B1078" t="s">
        <v>73</v>
      </c>
      <c r="C1078" t="s">
        <v>31</v>
      </c>
      <c r="D1078" t="s">
        <v>28</v>
      </c>
      <c r="E1078" t="s">
        <v>19</v>
      </c>
      <c r="F1078" t="s">
        <v>19</v>
      </c>
      <c r="G1078" t="s">
        <v>19</v>
      </c>
      <c r="H1078" t="s">
        <v>28</v>
      </c>
      <c r="I1078" t="s">
        <v>19</v>
      </c>
      <c r="J1078" t="s">
        <v>145</v>
      </c>
      <c r="K1078" s="21" t="s">
        <v>607</v>
      </c>
      <c r="L1078" s="5" t="s">
        <v>19</v>
      </c>
      <c r="M1078" s="5" t="s">
        <v>19</v>
      </c>
      <c r="N1078" s="5" t="s">
        <v>19</v>
      </c>
      <c r="O1078" s="5" t="str">
        <f>HYPERLINK("http://www.lghausys.co.kr/popup/rn/download/downloadPopup.jsp?from=plwindow&amp;uu=/upload/window/REPORT/LGH-WA20-049.pdf","1등급")</f>
        <v>1등급</v>
      </c>
      <c r="P1078" s="5" t="s">
        <v>19</v>
      </c>
      <c r="Q1078" s="5" t="s">
        <v>19</v>
      </c>
      <c r="R1078" s="5" t="s">
        <v>19</v>
      </c>
      <c r="S1078" s="5" t="s">
        <v>19</v>
      </c>
      <c r="T1078" s="5" t="s">
        <v>19</v>
      </c>
      <c r="U1078" s="5" t="s">
        <v>19</v>
      </c>
      <c r="V1078" s="5" t="s">
        <v>19</v>
      </c>
      <c r="W1078" s="5" t="s">
        <v>152</v>
      </c>
      <c r="X1078"/>
    </row>
    <row r="1079" spans="1:24">
      <c r="A1079" t="s">
        <v>95</v>
      </c>
      <c r="B1079" t="s">
        <v>95</v>
      </c>
      <c r="C1079" t="s">
        <v>31</v>
      </c>
      <c r="D1079" t="s">
        <v>25</v>
      </c>
      <c r="E1079" t="s">
        <v>19</v>
      </c>
      <c r="F1079" t="s">
        <v>19</v>
      </c>
      <c r="G1079" t="s">
        <v>19</v>
      </c>
      <c r="H1079" t="s">
        <v>19</v>
      </c>
      <c r="I1079" t="s">
        <v>19</v>
      </c>
      <c r="J1079" t="s">
        <v>99</v>
      </c>
      <c r="K1079" s="21" t="s">
        <v>607</v>
      </c>
      <c r="L1079" s="5" t="s">
        <v>19</v>
      </c>
      <c r="M1079" s="5" t="s">
        <v>19</v>
      </c>
      <c r="N1079" s="5" t="s">
        <v>19</v>
      </c>
      <c r="O1079" s="5" t="str">
        <f>HYPERLINK("http://www.lghausys.co.kr/popup/rn/download/downloadPopup.jsp?from=plwindow&amp;uu=/upload/window/REPORT/LGH-WA20-053.pdf","1등급")</f>
        <v>1등급</v>
      </c>
      <c r="P1079" s="5" t="str">
        <f>HYPERLINK("http://www.lghausys.co.kr/popup/rn/download/downloadPopup.jsp?from=plwindow&amp;uu=/upload/window/REPORT/LGH-WA20-053.pdf","35등급")</f>
        <v>35등급</v>
      </c>
      <c r="Q1079" s="5" t="str">
        <f>HYPERLINK("http://www.lghausys.co.kr/popup/rn/download/downloadPopup.jsp?from=plwindow&amp;uu=/upload/window/REPORT/LGH-WA20-053.pdf","240등급")</f>
        <v>240등급</v>
      </c>
      <c r="R1079" s="5" t="s">
        <v>19</v>
      </c>
      <c r="S1079" s="5" t="s">
        <v>19</v>
      </c>
      <c r="T1079" s="5" t="s">
        <v>19</v>
      </c>
      <c r="U1079" s="5" t="s">
        <v>19</v>
      </c>
      <c r="V1079" s="5" t="s">
        <v>19</v>
      </c>
      <c r="W1079" s="5" t="s">
        <v>152</v>
      </c>
      <c r="X1079"/>
    </row>
    <row r="1080" spans="1:24">
      <c r="A1080" t="s">
        <v>73</v>
      </c>
      <c r="B1080" t="s">
        <v>73</v>
      </c>
      <c r="C1080" t="s">
        <v>31</v>
      </c>
      <c r="D1080" t="s">
        <v>25</v>
      </c>
      <c r="E1080" t="s">
        <v>19</v>
      </c>
      <c r="F1080" t="s">
        <v>19</v>
      </c>
      <c r="G1080" t="s">
        <v>19</v>
      </c>
      <c r="H1080" t="s">
        <v>165</v>
      </c>
      <c r="I1080" t="s">
        <v>19</v>
      </c>
      <c r="J1080" t="s">
        <v>99</v>
      </c>
      <c r="K1080" s="21" t="s">
        <v>607</v>
      </c>
      <c r="L1080" s="5" t="s">
        <v>19</v>
      </c>
      <c r="M1080" s="5" t="s">
        <v>19</v>
      </c>
      <c r="N1080" s="5" t="s">
        <v>19</v>
      </c>
      <c r="O1080" s="5" t="str">
        <f>HYPERLINK("http://www.lghausys.co.kr/popup/rn/download/downloadPopup.jsp?from=plwindow&amp;uu=/upload/window/REPORT/LGH-WA20-054.pdf","1등급")</f>
        <v>1등급</v>
      </c>
      <c r="P1080" s="5" t="str">
        <f>HYPERLINK("http://www.lghausys.co.kr/popup/rn/download/downloadPopup.jsp?from=plwindow&amp;uu=/upload/window/REPORT/LGH-WA20-054.pdf","50등급")</f>
        <v>50등급</v>
      </c>
      <c r="Q1080" s="5" t="str">
        <f>HYPERLINK("http://www.lghausys.co.kr/popup/rn/download/downloadPopup.jsp?from=plwindow&amp;uu=/upload/window/REPORT/LGH-WA20-054.pdf","360등급")</f>
        <v>360등급</v>
      </c>
      <c r="R1080" s="5" t="s">
        <v>19</v>
      </c>
      <c r="S1080" s="5" t="s">
        <v>19</v>
      </c>
      <c r="T1080" s="5" t="s">
        <v>19</v>
      </c>
      <c r="U1080" s="5" t="s">
        <v>19</v>
      </c>
      <c r="V1080" s="5" t="s">
        <v>19</v>
      </c>
      <c r="W1080" s="5" t="s">
        <v>152</v>
      </c>
      <c r="X1080"/>
    </row>
    <row r="1081" spans="1:24">
      <c r="A1081" t="s">
        <v>174</v>
      </c>
      <c r="B1081" t="s">
        <v>174</v>
      </c>
      <c r="C1081" t="s">
        <v>31</v>
      </c>
      <c r="D1081" t="s">
        <v>270</v>
      </c>
      <c r="E1081" t="s">
        <v>19</v>
      </c>
      <c r="F1081" t="s">
        <v>19</v>
      </c>
      <c r="G1081" t="s">
        <v>19</v>
      </c>
      <c r="H1081" t="s">
        <v>165</v>
      </c>
      <c r="I1081" t="s">
        <v>19</v>
      </c>
      <c r="J1081" t="s">
        <v>99</v>
      </c>
      <c r="K1081" s="21" t="s">
        <v>607</v>
      </c>
      <c r="L1081" s="5" t="s">
        <v>19</v>
      </c>
      <c r="M1081" s="5" t="s">
        <v>19</v>
      </c>
      <c r="N1081" s="5" t="s">
        <v>19</v>
      </c>
      <c r="O1081" s="5" t="str">
        <f>HYPERLINK("http://www.lghausys.co.kr/popup/rn/download/downloadPopup.jsp?from=plwindow&amp;uu=/upload/window/REPORT/LGH-WA20-055.pdf","1등급")</f>
        <v>1등급</v>
      </c>
      <c r="P1081" s="5" t="str">
        <f>HYPERLINK("http://www.lghausys.co.kr/popup/rn/download/downloadPopup.jsp?from=plwindow&amp;uu=/upload/window/REPORT/LGH-WA20-055.pdf","50등급")</f>
        <v>50등급</v>
      </c>
      <c r="Q1081" s="5" t="str">
        <f>HYPERLINK("http://www.lghausys.co.kr/popup/rn/download/downloadPopup.jsp?from=plwindow&amp;uu=/upload/window/REPORT/LGH-WA20-055.pdf","360등급")</f>
        <v>360등급</v>
      </c>
      <c r="R1081" s="5" t="s">
        <v>19</v>
      </c>
      <c r="S1081" s="5" t="s">
        <v>19</v>
      </c>
      <c r="T1081" s="5" t="s">
        <v>19</v>
      </c>
      <c r="U1081" s="5" t="s">
        <v>19</v>
      </c>
      <c r="V1081" s="5" t="s">
        <v>19</v>
      </c>
      <c r="W1081" s="5" t="s">
        <v>152</v>
      </c>
      <c r="X1081"/>
    </row>
    <row r="1082" spans="1:24">
      <c r="A1082" t="s">
        <v>271</v>
      </c>
      <c r="B1082" t="s">
        <v>271</v>
      </c>
      <c r="C1082" t="s">
        <v>31</v>
      </c>
      <c r="D1082" t="s">
        <v>158</v>
      </c>
      <c r="E1082" t="s">
        <v>19</v>
      </c>
      <c r="F1082" t="s">
        <v>25</v>
      </c>
      <c r="G1082" t="s">
        <v>182</v>
      </c>
      <c r="H1082" t="s">
        <v>25</v>
      </c>
      <c r="I1082" t="s">
        <v>19</v>
      </c>
      <c r="J1082" t="s">
        <v>74</v>
      </c>
      <c r="K1082" s="21" t="s">
        <v>607</v>
      </c>
      <c r="L1082" s="5" t="s">
        <v>19</v>
      </c>
      <c r="M1082" s="5" t="s">
        <v>19</v>
      </c>
      <c r="N1082" s="5" t="s">
        <v>19</v>
      </c>
      <c r="O1082" s="5" t="str">
        <f>HYPERLINK("http://www.lghausys.co.kr/popup/rn/download/downloadPopup.jsp?from=plwindow&amp;uu=/upload/window/REPORT/LGH-WA20-057.pdf","1등급")</f>
        <v>1등급</v>
      </c>
      <c r="P1082" s="5" t="str">
        <f>HYPERLINK("http://www.lghausys.co.kr/popup/rn/download/downloadPopup.jsp?from=plwindow&amp;uu=/upload/window/REPORT/LGH-WA20-057.pdf","50등급")</f>
        <v>50등급</v>
      </c>
      <c r="Q1082" s="5" t="str">
        <f>HYPERLINK("http://www.lghausys.co.kr/popup/rn/download/downloadPopup.jsp?from=plwindow&amp;uu=/upload/window/REPORT/LGH-WA20-057.pdf","400등급")</f>
        <v>400등급</v>
      </c>
      <c r="R1082" s="5" t="s">
        <v>19</v>
      </c>
      <c r="S1082" s="5" t="s">
        <v>19</v>
      </c>
      <c r="T1082" s="5" t="s">
        <v>19</v>
      </c>
      <c r="U1082" s="5" t="s">
        <v>19</v>
      </c>
      <c r="V1082" s="5" t="s">
        <v>19</v>
      </c>
      <c r="W1082" s="5" t="s">
        <v>152</v>
      </c>
      <c r="X1082"/>
    </row>
    <row r="1083" spans="1:24">
      <c r="A1083" t="s">
        <v>271</v>
      </c>
      <c r="B1083" t="s">
        <v>271</v>
      </c>
      <c r="C1083" t="s">
        <v>31</v>
      </c>
      <c r="D1083" t="s">
        <v>158</v>
      </c>
      <c r="E1083" t="s">
        <v>19</v>
      </c>
      <c r="F1083" t="s">
        <v>25</v>
      </c>
      <c r="G1083" t="s">
        <v>182</v>
      </c>
      <c r="H1083" t="s">
        <v>241</v>
      </c>
      <c r="I1083" t="s">
        <v>19</v>
      </c>
      <c r="J1083" t="s">
        <v>74</v>
      </c>
      <c r="K1083" s="21" t="s">
        <v>607</v>
      </c>
      <c r="L1083" s="5" t="s">
        <v>19</v>
      </c>
      <c r="M1083" s="5" t="s">
        <v>19</v>
      </c>
      <c r="N1083" s="5" t="s">
        <v>19</v>
      </c>
      <c r="O1083" s="5" t="str">
        <f>HYPERLINK("http://www.lghausys.co.kr/popup/rn/download/downloadPopup.jsp?from=plwindow&amp;uu=/upload/window/REPORT/LGH-WA20-058.pdf","1등급")</f>
        <v>1등급</v>
      </c>
      <c r="P1083" s="5" t="str">
        <f>HYPERLINK("http://www.lghausys.co.kr/popup/rn/download/downloadPopup.jsp?from=plwindow&amp;uu=/upload/window/REPORT/LGH-WA20-058.pdf","50등급")</f>
        <v>50등급</v>
      </c>
      <c r="Q1083" s="5" t="str">
        <f>HYPERLINK("http://www.lghausys.co.kr/popup/rn/download/downloadPopup.jsp?from=plwindow&amp;uu=/upload/window/REPORT/LGH-WA20-058.pdf","400등급")</f>
        <v>400등급</v>
      </c>
      <c r="R1083" s="5" t="s">
        <v>19</v>
      </c>
      <c r="S1083" s="5" t="s">
        <v>19</v>
      </c>
      <c r="T1083" s="5" t="s">
        <v>19</v>
      </c>
      <c r="U1083" s="5" t="s">
        <v>19</v>
      </c>
      <c r="V1083" s="5" t="s">
        <v>19</v>
      </c>
      <c r="W1083" s="5" t="s">
        <v>152</v>
      </c>
      <c r="X1083"/>
    </row>
    <row r="1084" spans="1:24">
      <c r="A1084" t="s">
        <v>271</v>
      </c>
      <c r="B1084" t="s">
        <v>271</v>
      </c>
      <c r="C1084" t="s">
        <v>31</v>
      </c>
      <c r="D1084" t="s">
        <v>272</v>
      </c>
      <c r="E1084" t="s">
        <v>19</v>
      </c>
      <c r="F1084" t="s">
        <v>241</v>
      </c>
      <c r="G1084" t="s">
        <v>182</v>
      </c>
      <c r="H1084" t="s">
        <v>241</v>
      </c>
      <c r="I1084" t="s">
        <v>19</v>
      </c>
      <c r="J1084" t="s">
        <v>74</v>
      </c>
      <c r="K1084" s="21" t="s">
        <v>607</v>
      </c>
      <c r="L1084" s="5" t="s">
        <v>19</v>
      </c>
      <c r="M1084" s="5" t="s">
        <v>19</v>
      </c>
      <c r="N1084" s="5" t="s">
        <v>19</v>
      </c>
      <c r="O1084" s="5" t="str">
        <f>HYPERLINK("http://www.lghausys.co.kr/popup/rn/download/downloadPopup.jsp?from=plwindow&amp;uu=/upload/window/REPORT/LGH-WA20-059.pdf","1등급")</f>
        <v>1등급</v>
      </c>
      <c r="P1084" s="5" t="str">
        <f>HYPERLINK("http://www.lghausys.co.kr/popup/rn/download/downloadPopup.jsp?from=plwindow&amp;uu=/upload/window/REPORT/LGH-WA20-059.pdf","50등급")</f>
        <v>50등급</v>
      </c>
      <c r="Q1084" s="5" t="str">
        <f>HYPERLINK("http://www.lghausys.co.kr/popup/rn/download/downloadPopup.jsp?from=plwindow&amp;uu=/upload/window/REPORT/LGH-WA20-059.pdf","400등급")</f>
        <v>400등급</v>
      </c>
      <c r="R1084" s="5" t="s">
        <v>19</v>
      </c>
      <c r="S1084" s="5" t="s">
        <v>19</v>
      </c>
      <c r="T1084" s="5" t="s">
        <v>19</v>
      </c>
      <c r="U1084" s="5" t="s">
        <v>19</v>
      </c>
      <c r="V1084" s="5" t="s">
        <v>19</v>
      </c>
      <c r="W1084" s="5" t="s">
        <v>152</v>
      </c>
      <c r="X1084"/>
    </row>
    <row r="1085" spans="1:24">
      <c r="A1085" t="s">
        <v>52</v>
      </c>
      <c r="B1085" t="s">
        <v>52</v>
      </c>
      <c r="C1085" t="s">
        <v>34</v>
      </c>
      <c r="D1085" t="s">
        <v>28</v>
      </c>
      <c r="E1085" t="s">
        <v>19</v>
      </c>
      <c r="F1085" t="s">
        <v>19</v>
      </c>
      <c r="G1085" t="s">
        <v>19</v>
      </c>
      <c r="H1085" t="s">
        <v>28</v>
      </c>
      <c r="I1085" t="s">
        <v>19</v>
      </c>
      <c r="J1085" t="s">
        <v>74</v>
      </c>
      <c r="K1085" s="21" t="s">
        <v>607</v>
      </c>
      <c r="L1085" s="5" t="s">
        <v>19</v>
      </c>
      <c r="M1085" s="5" t="s">
        <v>19</v>
      </c>
      <c r="N1085" s="5" t="str">
        <f>HYPERLINK("http://www.lghausys.co.kr/popup/rn/download/downloadPopup.jsp?from=plwindow&amp;uu=/upload/window/REPORT/LGH-TA20-070.pdf","0.905")</f>
        <v>0.905</v>
      </c>
      <c r="O1085" s="5" t="s">
        <v>19</v>
      </c>
      <c r="P1085" s="5" t="s">
        <v>19</v>
      </c>
      <c r="Q1085" s="5" t="s">
        <v>19</v>
      </c>
      <c r="R1085" s="5" t="s">
        <v>19</v>
      </c>
      <c r="S1085" s="5" t="s">
        <v>19</v>
      </c>
      <c r="T1085" s="5" t="s">
        <v>19</v>
      </c>
      <c r="U1085" s="5" t="s">
        <v>19</v>
      </c>
      <c r="V1085" s="5" t="s">
        <v>19</v>
      </c>
      <c r="W1085" s="5" t="s">
        <v>75</v>
      </c>
      <c r="X1085"/>
    </row>
    <row r="1086" spans="1:24">
      <c r="A1086" t="s">
        <v>52</v>
      </c>
      <c r="B1086" t="s">
        <v>52</v>
      </c>
      <c r="C1086" t="s">
        <v>34</v>
      </c>
      <c r="D1086" t="s">
        <v>28</v>
      </c>
      <c r="E1086" t="s">
        <v>19</v>
      </c>
      <c r="F1086" t="s">
        <v>19</v>
      </c>
      <c r="G1086" t="s">
        <v>19</v>
      </c>
      <c r="H1086" t="s">
        <v>28</v>
      </c>
      <c r="I1086" t="s">
        <v>19</v>
      </c>
      <c r="J1086" t="s">
        <v>74</v>
      </c>
      <c r="K1086" s="21" t="s">
        <v>607</v>
      </c>
      <c r="L1086" s="5" t="s">
        <v>19</v>
      </c>
      <c r="M1086" s="5" t="s">
        <v>19</v>
      </c>
      <c r="N1086" s="5" t="str">
        <f>HYPERLINK("http://www.lghausys.co.kr/popup/rn/download/downloadPopup.jsp?from=plwindow&amp;uu=/upload/window/REPORT/LGH-TA20-071.pdf","0.872")</f>
        <v>0.872</v>
      </c>
      <c r="O1086" s="5" t="s">
        <v>19</v>
      </c>
      <c r="P1086" s="5" t="s">
        <v>19</v>
      </c>
      <c r="Q1086" s="5" t="s">
        <v>19</v>
      </c>
      <c r="R1086" s="5" t="s">
        <v>19</v>
      </c>
      <c r="S1086" s="5" t="s">
        <v>19</v>
      </c>
      <c r="T1086" s="5" t="s">
        <v>19</v>
      </c>
      <c r="U1086" s="5" t="s">
        <v>19</v>
      </c>
      <c r="V1086" s="5" t="s">
        <v>19</v>
      </c>
      <c r="W1086" s="5" t="s">
        <v>75</v>
      </c>
      <c r="X1086"/>
    </row>
    <row r="1087" spans="1:24">
      <c r="A1087" t="s">
        <v>73</v>
      </c>
      <c r="B1087" t="s">
        <v>73</v>
      </c>
      <c r="C1087" t="s">
        <v>31</v>
      </c>
      <c r="D1087" t="s">
        <v>28</v>
      </c>
      <c r="E1087" t="s">
        <v>19</v>
      </c>
      <c r="F1087" t="s">
        <v>19</v>
      </c>
      <c r="G1087" t="s">
        <v>19</v>
      </c>
      <c r="H1087" t="s">
        <v>28</v>
      </c>
      <c r="I1087" t="s">
        <v>19</v>
      </c>
      <c r="J1087" t="s">
        <v>74</v>
      </c>
      <c r="K1087" s="21" t="s">
        <v>607</v>
      </c>
      <c r="L1087" s="5" t="s">
        <v>19</v>
      </c>
      <c r="M1087" s="5" t="s">
        <v>19</v>
      </c>
      <c r="N1087" s="5" t="s">
        <v>19</v>
      </c>
      <c r="O1087" s="5" t="str">
        <f>HYPERLINK("http://www.lghausys.co.kr/popup/rn/download/downloadPopup.jsp?from=plwindow&amp;uu=/upload/window/REPORT/LGH-WA20-061.pdf","1등급")</f>
        <v>1등급</v>
      </c>
      <c r="P1087" s="5" t="s">
        <v>19</v>
      </c>
      <c r="Q1087" s="5" t="s">
        <v>19</v>
      </c>
      <c r="R1087" s="5" t="s">
        <v>19</v>
      </c>
      <c r="S1087" s="5" t="s">
        <v>19</v>
      </c>
      <c r="T1087" s="5" t="s">
        <v>19</v>
      </c>
      <c r="U1087" s="5" t="s">
        <v>19</v>
      </c>
      <c r="V1087" s="5" t="s">
        <v>19</v>
      </c>
      <c r="W1087" s="5" t="s">
        <v>152</v>
      </c>
      <c r="X1087"/>
    </row>
    <row r="1088" spans="1:24">
      <c r="A1088" t="s">
        <v>52</v>
      </c>
      <c r="B1088" t="s">
        <v>52</v>
      </c>
      <c r="C1088" t="s">
        <v>31</v>
      </c>
      <c r="D1088" t="s">
        <v>25</v>
      </c>
      <c r="E1088" t="s">
        <v>19</v>
      </c>
      <c r="F1088" t="s">
        <v>19</v>
      </c>
      <c r="G1088" t="s">
        <v>19</v>
      </c>
      <c r="H1088" t="s">
        <v>64</v>
      </c>
      <c r="I1088" t="s">
        <v>19</v>
      </c>
      <c r="J1088" t="s">
        <v>97</v>
      </c>
      <c r="K1088" s="21" t="s">
        <v>607</v>
      </c>
      <c r="L1088" s="5" t="s">
        <v>19</v>
      </c>
      <c r="M1088" s="5" t="s">
        <v>19</v>
      </c>
      <c r="N1088" s="5" t="s">
        <v>19</v>
      </c>
      <c r="O1088" s="5" t="str">
        <f>HYPERLINK("http://www.lghausys.co.kr/popup/rn/download/downloadPopup.jsp?from=plwindow&amp;uu=/upload/window/REPORT/LGH-WA20-063.pdf","1등급")</f>
        <v>1등급</v>
      </c>
      <c r="P1088" s="5" t="s">
        <v>19</v>
      </c>
      <c r="Q1088" s="5" t="s">
        <v>19</v>
      </c>
      <c r="R1088" s="5" t="s">
        <v>19</v>
      </c>
      <c r="S1088" s="5" t="s">
        <v>19</v>
      </c>
      <c r="T1088" s="5" t="s">
        <v>19</v>
      </c>
      <c r="U1088" s="5" t="s">
        <v>19</v>
      </c>
      <c r="V1088" s="5" t="s">
        <v>19</v>
      </c>
      <c r="W1088" s="5" t="s">
        <v>152</v>
      </c>
      <c r="X1088"/>
    </row>
    <row r="1089" spans="1:24">
      <c r="A1089" t="s">
        <v>73</v>
      </c>
      <c r="B1089" t="s">
        <v>73</v>
      </c>
      <c r="C1089" t="s">
        <v>31</v>
      </c>
      <c r="D1089" t="s">
        <v>32</v>
      </c>
      <c r="E1089" t="s">
        <v>19</v>
      </c>
      <c r="F1089" t="s">
        <v>19</v>
      </c>
      <c r="G1089" t="s">
        <v>19</v>
      </c>
      <c r="H1089" t="s">
        <v>89</v>
      </c>
      <c r="I1089" t="s">
        <v>19</v>
      </c>
      <c r="J1089" t="s">
        <v>74</v>
      </c>
      <c r="K1089" s="21" t="s">
        <v>607</v>
      </c>
      <c r="L1089" s="5" t="s">
        <v>19</v>
      </c>
      <c r="M1089" s="5" t="s">
        <v>19</v>
      </c>
      <c r="N1089" s="5" t="s">
        <v>19</v>
      </c>
      <c r="O1089" s="5" t="str">
        <f>HYPERLINK("http://www.lghausys.co.kr/popup/rn/download/downloadPopup.jsp?from=plwindow&amp;uu=/upload/window/REPORT/LGH-WA20-064.pdf","1등급")</f>
        <v>1등급</v>
      </c>
      <c r="P1089" s="5" t="s">
        <v>19</v>
      </c>
      <c r="Q1089" s="5" t="s">
        <v>19</v>
      </c>
      <c r="R1089" s="5" t="s">
        <v>19</v>
      </c>
      <c r="S1089" s="5" t="s">
        <v>19</v>
      </c>
      <c r="T1089" s="5" t="s">
        <v>19</v>
      </c>
      <c r="U1089" s="5" t="s">
        <v>19</v>
      </c>
      <c r="V1089" s="5" t="s">
        <v>19</v>
      </c>
      <c r="W1089" s="5" t="s">
        <v>152</v>
      </c>
      <c r="X1089"/>
    </row>
    <row r="1090" spans="1:24">
      <c r="A1090" t="s">
        <v>446</v>
      </c>
      <c r="B1090" t="s">
        <v>446</v>
      </c>
      <c r="C1090" t="s">
        <v>20</v>
      </c>
      <c r="D1090" t="s">
        <v>273</v>
      </c>
      <c r="E1090" t="s">
        <v>19</v>
      </c>
      <c r="F1090" t="s">
        <v>19</v>
      </c>
      <c r="G1090" t="s">
        <v>19</v>
      </c>
      <c r="H1090" t="s">
        <v>19</v>
      </c>
      <c r="I1090" t="s">
        <v>19</v>
      </c>
      <c r="J1090" t="s">
        <v>97</v>
      </c>
      <c r="K1090" s="21" t="str">
        <f>IF(X1090&lt;=0.9,HYPERLINK("http://www.lxhausys.co.kr/popup/rn/download/downloadPopup.jsp?from=plwindow&amp;uu=/upload/window/REPORT/LGH-TW20-009.pdf","1등급"),IF(X1090&lt;=1.2,HYPERLINK("http://www.lxhausys.co.kr/popup/rn/download/downloadPopup.jsp?from=plwindow&amp;uu=/upload/window/REPORT/LGH-TW20-009.pdf","2등급"),IF(X1090&lt;=1.8,HYPERLINK("http://www.lxhausys.co.kr/popup/rn/download/downloadPopup.jsp?from=plwindow&amp;uu=/upload/window/REPORT/LGH-TW20-009.pdf","3등급"),IF(X1090&lt;=2.3,HYPERLINK("http://www.lxhausys.co.kr/popup/rn/download/downloadPopup.jsp?from=plwindow&amp;uu=/upload/window/REPORT/LGH-TW20-009.pdf","4등급"),IF(X1090&lt;=2.8,HYPERLINK("http://www.lxhausys.co.kr/popup/rn/download/downloadPopup.jsp?from=plwindow&amp;uu=/upload/window/REPORT/LGH-TW20-009.pdf","5등급"),HYPERLINK("http://www.lxhausys.co.kr/popup/rn/download/downloadPopup.jsp?from=plwindow&amp;uu=/upload/window/REPORT/LGH-TW20-009.pdf","등급외"))))))</f>
        <v>1등급</v>
      </c>
      <c r="L1090" s="5">
        <v>0.80900000000000005</v>
      </c>
      <c r="M1090" s="5" t="s">
        <v>22</v>
      </c>
      <c r="N1090" s="5" t="s">
        <v>607</v>
      </c>
      <c r="O1090" s="5" t="s">
        <v>19</v>
      </c>
      <c r="P1090" s="5" t="s">
        <v>19</v>
      </c>
      <c r="Q1090" s="5" t="s">
        <v>19</v>
      </c>
      <c r="R1090" s="5" t="s">
        <v>19</v>
      </c>
      <c r="S1090" s="5" t="s">
        <v>19</v>
      </c>
      <c r="T1090" s="5" t="s">
        <v>19</v>
      </c>
      <c r="U1090" s="5" t="s">
        <v>19</v>
      </c>
      <c r="V1090" s="5" t="s">
        <v>19</v>
      </c>
      <c r="W1090" s="5" t="s">
        <v>19</v>
      </c>
      <c r="X1090" s="19">
        <f t="shared" ref="X1090:X1098" si="12">L1090</f>
        <v>0.80900000000000005</v>
      </c>
    </row>
    <row r="1091" spans="1:24">
      <c r="A1091" t="s">
        <v>447</v>
      </c>
      <c r="B1091" t="s">
        <v>447</v>
      </c>
      <c r="C1091" t="s">
        <v>20</v>
      </c>
      <c r="D1091" t="s">
        <v>212</v>
      </c>
      <c r="E1091" t="s">
        <v>19</v>
      </c>
      <c r="F1091" t="s">
        <v>19</v>
      </c>
      <c r="G1091" t="s">
        <v>19</v>
      </c>
      <c r="H1091" t="s">
        <v>19</v>
      </c>
      <c r="I1091" t="s">
        <v>19</v>
      </c>
      <c r="J1091" t="s">
        <v>97</v>
      </c>
      <c r="K1091" s="21" t="str">
        <f>IF(X1091&lt;=0.9,HYPERLINK("http://www.lxhausys.co.kr/popup/rn/download/downloadPopup.jsp?from=plwindow&amp;uu=/upload/window/REPORT/LGH-TW20-010.pdf","1등급"),IF(X1091&lt;=1.2,HYPERLINK("http://www.lxhausys.co.kr/popup/rn/download/downloadPopup.jsp?from=plwindow&amp;uu=/upload/window/REPORT/LGH-TW20-010.pdf","2등급"),IF(X1091&lt;=1.8,HYPERLINK("http://www.lxhausys.co.kr/popup/rn/download/downloadPopup.jsp?from=plwindow&amp;uu=/upload/window/REPORT/LGH-TW20-010.pdf","3등급"),IF(X1091&lt;=2.3,HYPERLINK("http://www.lxhausys.co.kr/popup/rn/download/downloadPopup.jsp?from=plwindow&amp;uu=/upload/window/REPORT/LGH-TW20-010.pdf","4등급"),IF(X1091&lt;=2.8,HYPERLINK("http://www.lxhausys.co.kr/popup/rn/download/downloadPopup.jsp?from=plwindow&amp;uu=/upload/window/REPORT/LGH-TW20-010.pdf","5등급"),HYPERLINK("http://www.lxhausys.co.kr/popup/rn/download/downloadPopup.jsp?from=plwindow&amp;uu=/upload/window/REPORT/LGH-TW20-010.pdf","등급외"))))))</f>
        <v>3등급</v>
      </c>
      <c r="L1091" s="5">
        <v>1.3680000000000001</v>
      </c>
      <c r="M1091" s="5" t="s">
        <v>22</v>
      </c>
      <c r="N1091" s="5" t="s">
        <v>607</v>
      </c>
      <c r="O1091" s="5" t="s">
        <v>19</v>
      </c>
      <c r="P1091" s="5" t="s">
        <v>19</v>
      </c>
      <c r="Q1091" s="5" t="s">
        <v>19</v>
      </c>
      <c r="R1091" s="5" t="s">
        <v>19</v>
      </c>
      <c r="S1091" s="5" t="s">
        <v>19</v>
      </c>
      <c r="T1091" s="5" t="s">
        <v>19</v>
      </c>
      <c r="U1091" s="5" t="s">
        <v>19</v>
      </c>
      <c r="V1091" s="5" t="s">
        <v>19</v>
      </c>
      <c r="W1091" s="5" t="s">
        <v>19</v>
      </c>
      <c r="X1091" s="19">
        <f t="shared" si="12"/>
        <v>1.3680000000000001</v>
      </c>
    </row>
    <row r="1092" spans="1:24">
      <c r="A1092" t="s">
        <v>274</v>
      </c>
      <c r="B1092" t="s">
        <v>274</v>
      </c>
      <c r="C1092" t="s">
        <v>20</v>
      </c>
      <c r="D1092" t="s">
        <v>275</v>
      </c>
      <c r="E1092" t="s">
        <v>19</v>
      </c>
      <c r="F1092" t="s">
        <v>19</v>
      </c>
      <c r="G1092" t="s">
        <v>19</v>
      </c>
      <c r="H1092" t="s">
        <v>19</v>
      </c>
      <c r="I1092" t="s">
        <v>19</v>
      </c>
      <c r="J1092" t="s">
        <v>145</v>
      </c>
      <c r="K1092" s="21" t="str">
        <f>IF(X1092&lt;=0.9,HYPERLINK("http://www.lxhausys.co.kr/popup/rn/download/downloadPopup.jsp?from=plwindow&amp;uu=/upload/window/REPORT/LGH-TW20-012.pdf","1등급"),IF(X1092&lt;=1.2,HYPERLINK("http://www.lxhausys.co.kr/popup/rn/download/downloadPopup.jsp?from=plwindow&amp;uu=/upload/window/REPORT/LGH-TW20-012.pdf","2등급"),IF(X1092&lt;=1.8,HYPERLINK("http://www.lxhausys.co.kr/popup/rn/download/downloadPopup.jsp?from=plwindow&amp;uu=/upload/window/REPORT/LGH-TW20-012.pdf","3등급"),IF(X1092&lt;=2.3,HYPERLINK("http://www.lxhausys.co.kr/popup/rn/download/downloadPopup.jsp?from=plwindow&amp;uu=/upload/window/REPORT/LGH-TW20-012.pdf","4등급"),IF(X1092&lt;=2.8,HYPERLINK("http://www.lxhausys.co.kr/popup/rn/download/downloadPopup.jsp?from=plwindow&amp;uu=/upload/window/REPORT/LGH-TW20-012.pdf","5등급"),HYPERLINK("http://www.lxhausys.co.kr/popup/rn/download/downloadPopup.jsp?from=plwindow&amp;uu=/upload/window/REPORT/LGH-TW20-012.pdf","등급외"))))))</f>
        <v>3등급</v>
      </c>
      <c r="L1092" s="5">
        <v>1.252</v>
      </c>
      <c r="M1092" s="5" t="s">
        <v>22</v>
      </c>
      <c r="N1092" s="5" t="s">
        <v>607</v>
      </c>
      <c r="O1092" s="5" t="s">
        <v>19</v>
      </c>
      <c r="P1092" s="5" t="s">
        <v>19</v>
      </c>
      <c r="Q1092" s="5" t="s">
        <v>19</v>
      </c>
      <c r="R1092" s="5" t="s">
        <v>19</v>
      </c>
      <c r="S1092" s="5" t="s">
        <v>19</v>
      </c>
      <c r="T1092" s="5" t="s">
        <v>19</v>
      </c>
      <c r="U1092" s="5" t="s">
        <v>19</v>
      </c>
      <c r="V1092" s="5" t="s">
        <v>19</v>
      </c>
      <c r="W1092" s="5" t="s">
        <v>19</v>
      </c>
      <c r="X1092" s="19">
        <f t="shared" si="12"/>
        <v>1.252</v>
      </c>
    </row>
    <row r="1093" spans="1:24">
      <c r="A1093" t="s">
        <v>446</v>
      </c>
      <c r="B1093" t="s">
        <v>446</v>
      </c>
      <c r="C1093" t="s">
        <v>20</v>
      </c>
      <c r="D1093" t="s">
        <v>268</v>
      </c>
      <c r="E1093" t="s">
        <v>19</v>
      </c>
      <c r="F1093" t="s">
        <v>19</v>
      </c>
      <c r="G1093" t="s">
        <v>19</v>
      </c>
      <c r="H1093" t="s">
        <v>19</v>
      </c>
      <c r="I1093" t="s">
        <v>19</v>
      </c>
      <c r="J1093" t="s">
        <v>97</v>
      </c>
      <c r="K1093" s="21" t="str">
        <f>IF(X1093&lt;=0.9,HYPERLINK("http://www.lxhausys.co.kr/popup/rn/download/downloadPopup.jsp?from=plwindow&amp;uu=/upload/window/REPORT/LGH-TW20-013.pdf","1등급"),IF(X1093&lt;=1.2,HYPERLINK("http://www.lxhausys.co.kr/popup/rn/download/downloadPopup.jsp?from=plwindow&amp;uu=/upload/window/REPORT/LGH-TW20-013.pdf","2등급"),IF(X1093&lt;=1.8,HYPERLINK("http://www.lxhausys.co.kr/popup/rn/download/downloadPopup.jsp?from=plwindow&amp;uu=/upload/window/REPORT/LGH-TW20-013.pdf","3등급"),IF(X1093&lt;=2.3,HYPERLINK("http://www.lxhausys.co.kr/popup/rn/download/downloadPopup.jsp?from=plwindow&amp;uu=/upload/window/REPORT/LGH-TW20-013.pdf","4등급"),IF(X1093&lt;=2.8,HYPERLINK("http://www.lxhausys.co.kr/popup/rn/download/downloadPopup.jsp?from=plwindow&amp;uu=/upload/window/REPORT/LGH-TW20-013.pdf","5등급"),HYPERLINK("http://www.lxhausys.co.kr/popup/rn/download/downloadPopup.jsp?from=plwindow&amp;uu=/upload/window/REPORT/LGH-TW20-013.pdf","등급외"))))))</f>
        <v>1등급</v>
      </c>
      <c r="L1093" s="5">
        <v>0.89700000000000002</v>
      </c>
      <c r="M1093" s="5" t="s">
        <v>22</v>
      </c>
      <c r="N1093" s="5" t="s">
        <v>607</v>
      </c>
      <c r="O1093" s="5" t="s">
        <v>19</v>
      </c>
      <c r="P1093" s="5" t="s">
        <v>19</v>
      </c>
      <c r="Q1093" s="5" t="s">
        <v>19</v>
      </c>
      <c r="R1093" s="5" t="s">
        <v>19</v>
      </c>
      <c r="S1093" s="5" t="s">
        <v>19</v>
      </c>
      <c r="T1093" s="5" t="s">
        <v>19</v>
      </c>
      <c r="U1093" s="5" t="s">
        <v>19</v>
      </c>
      <c r="V1093" s="5" t="s">
        <v>19</v>
      </c>
      <c r="W1093" s="5" t="s">
        <v>19</v>
      </c>
      <c r="X1093" s="19">
        <f t="shared" si="12"/>
        <v>0.89700000000000002</v>
      </c>
    </row>
    <row r="1094" spans="1:24">
      <c r="A1094" t="s">
        <v>447</v>
      </c>
      <c r="B1094" t="s">
        <v>447</v>
      </c>
      <c r="C1094" t="s">
        <v>20</v>
      </c>
      <c r="D1094" t="s">
        <v>273</v>
      </c>
      <c r="E1094" t="s">
        <v>19</v>
      </c>
      <c r="F1094" t="s">
        <v>19</v>
      </c>
      <c r="G1094" t="s">
        <v>19</v>
      </c>
      <c r="H1094" t="s">
        <v>19</v>
      </c>
      <c r="I1094" t="s">
        <v>19</v>
      </c>
      <c r="J1094" t="s">
        <v>184</v>
      </c>
      <c r="K1094" s="21" t="str">
        <f>IF(X1094&lt;=0.9,HYPERLINK("http://www.lxhausys.co.kr/popup/rn/download/downloadPopup.jsp?from=plwindow&amp;uu=/upload/window/REPORT/LGH-TW20-014.pdf","1등급"),IF(X1094&lt;=1.2,HYPERLINK("http://www.lxhausys.co.kr/popup/rn/download/downloadPopup.jsp?from=plwindow&amp;uu=/upload/window/REPORT/LGH-TW20-014.pdf","2등급"),IF(X1094&lt;=1.8,HYPERLINK("http://www.lxhausys.co.kr/popup/rn/download/downloadPopup.jsp?from=plwindow&amp;uu=/upload/window/REPORT/LGH-TW20-014.pdf","3등급"),IF(X1094&lt;=2.3,HYPERLINK("http://www.lxhausys.co.kr/popup/rn/download/downloadPopup.jsp?from=plwindow&amp;uu=/upload/window/REPORT/LGH-TW20-014.pdf","4등급"),IF(X1094&lt;=2.8,HYPERLINK("http://www.lxhausys.co.kr/popup/rn/download/downloadPopup.jsp?from=plwindow&amp;uu=/upload/window/REPORT/LGH-TW20-014.pdf","5등급"),HYPERLINK("http://www.lxhausys.co.kr/popup/rn/download/downloadPopup.jsp?from=plwindow&amp;uu=/upload/window/REPORT/LGH-TW20-014.pdf","등급외"))))))</f>
        <v>1등급</v>
      </c>
      <c r="L1094" s="5">
        <v>0.81299999999999994</v>
      </c>
      <c r="M1094" s="5" t="s">
        <v>22</v>
      </c>
      <c r="N1094" s="5" t="s">
        <v>607</v>
      </c>
      <c r="O1094" s="5" t="s">
        <v>19</v>
      </c>
      <c r="P1094" s="5" t="s">
        <v>19</v>
      </c>
      <c r="Q1094" s="5" t="s">
        <v>19</v>
      </c>
      <c r="R1094" s="5" t="s">
        <v>19</v>
      </c>
      <c r="S1094" s="5" t="s">
        <v>19</v>
      </c>
      <c r="T1094" s="5" t="s">
        <v>19</v>
      </c>
      <c r="U1094" s="5" t="s">
        <v>19</v>
      </c>
      <c r="V1094" s="5" t="s">
        <v>19</v>
      </c>
      <c r="W1094" s="5" t="s">
        <v>19</v>
      </c>
      <c r="X1094" s="19">
        <f t="shared" si="12"/>
        <v>0.81299999999999994</v>
      </c>
    </row>
    <row r="1095" spans="1:24">
      <c r="A1095" t="s">
        <v>448</v>
      </c>
      <c r="B1095" t="s">
        <v>448</v>
      </c>
      <c r="C1095" t="s">
        <v>20</v>
      </c>
      <c r="D1095" t="s">
        <v>126</v>
      </c>
      <c r="E1095" t="s">
        <v>19</v>
      </c>
      <c r="F1095" t="s">
        <v>19</v>
      </c>
      <c r="G1095" t="s">
        <v>19</v>
      </c>
      <c r="H1095" t="s">
        <v>19</v>
      </c>
      <c r="I1095" t="s">
        <v>19</v>
      </c>
      <c r="J1095" t="s">
        <v>97</v>
      </c>
      <c r="K1095" s="21" t="str">
        <f>IF(X1095&lt;=0.9,HYPERLINK("http://www.lxhausys.co.kr/popup/rn/download/downloadPopup.jsp?from=plwindow&amp;uu=/upload/window/REPORT/LGH-TW20-015.pdf","1등급"),IF(X1095&lt;=1.2,HYPERLINK("http://www.lxhausys.co.kr/popup/rn/download/downloadPopup.jsp?from=plwindow&amp;uu=/upload/window/REPORT/LGH-TW20-015.pdf","2등급"),IF(X1095&lt;=1.8,HYPERLINK("http://www.lxhausys.co.kr/popup/rn/download/downloadPopup.jsp?from=plwindow&amp;uu=/upload/window/REPORT/LGH-TW20-015.pdf","3등급"),IF(X1095&lt;=2.3,HYPERLINK("http://www.lxhausys.co.kr/popup/rn/download/downloadPopup.jsp?from=plwindow&amp;uu=/upload/window/REPORT/LGH-TW20-015.pdf","4등급"),IF(X1095&lt;=2.8,HYPERLINK("http://www.lxhausys.co.kr/popup/rn/download/downloadPopup.jsp?from=plwindow&amp;uu=/upload/window/REPORT/LGH-TW20-015.pdf","5등급"),HYPERLINK("http://www.lxhausys.co.kr/popup/rn/download/downloadPopup.jsp?from=plwindow&amp;uu=/upload/window/REPORT/LGH-TW20-015.pdf","등급외"))))))</f>
        <v>3등급</v>
      </c>
      <c r="L1095" s="5">
        <v>1.4219999999999999</v>
      </c>
      <c r="M1095" s="5" t="s">
        <v>22</v>
      </c>
      <c r="N1095" s="5" t="s">
        <v>607</v>
      </c>
      <c r="O1095" s="5" t="s">
        <v>19</v>
      </c>
      <c r="P1095" s="5" t="s">
        <v>19</v>
      </c>
      <c r="Q1095" s="5" t="s">
        <v>19</v>
      </c>
      <c r="R1095" s="5" t="s">
        <v>19</v>
      </c>
      <c r="S1095" s="5" t="s">
        <v>19</v>
      </c>
      <c r="T1095" s="5" t="s">
        <v>19</v>
      </c>
      <c r="U1095" s="5" t="s">
        <v>19</v>
      </c>
      <c r="V1095" s="5" t="s">
        <v>19</v>
      </c>
      <c r="W1095" s="5" t="s">
        <v>19</v>
      </c>
      <c r="X1095" s="19">
        <f t="shared" si="12"/>
        <v>1.4219999999999999</v>
      </c>
    </row>
    <row r="1096" spans="1:24">
      <c r="A1096" t="s">
        <v>271</v>
      </c>
      <c r="B1096" t="s">
        <v>271</v>
      </c>
      <c r="C1096" t="s">
        <v>20</v>
      </c>
      <c r="D1096" t="s">
        <v>158</v>
      </c>
      <c r="E1096" t="s">
        <v>19</v>
      </c>
      <c r="F1096" t="s">
        <v>25</v>
      </c>
      <c r="G1096" t="s">
        <v>182</v>
      </c>
      <c r="H1096" t="s">
        <v>25</v>
      </c>
      <c r="I1096" t="s">
        <v>19</v>
      </c>
      <c r="J1096" t="s">
        <v>74</v>
      </c>
      <c r="K1096" s="21" t="str">
        <f>IF(X1096&lt;=0.9,HYPERLINK("http://www.lxhausys.co.kr/popup/rn/download/downloadPopup.jsp?from=plwindow&amp;uu=/upload/window/REPORT/LGH-TW20-016.pdf","1등급"),IF(X1096&lt;=1.2,HYPERLINK("http://www.lxhausys.co.kr/popup/rn/download/downloadPopup.jsp?from=plwindow&amp;uu=/upload/window/REPORT/LGH-TW20-016.pdf","2등급"),IF(X1096&lt;=1.8,HYPERLINK("http://www.lxhausys.co.kr/popup/rn/download/downloadPopup.jsp?from=plwindow&amp;uu=/upload/window/REPORT/LGH-TW20-016.pdf","3등급"),IF(X1096&lt;=2.3,HYPERLINK("http://www.lxhausys.co.kr/popup/rn/download/downloadPopup.jsp?from=plwindow&amp;uu=/upload/window/REPORT/LGH-TW20-016.pdf","4등급"),IF(X1096&lt;=2.8,HYPERLINK("http://www.lxhausys.co.kr/popup/rn/download/downloadPopup.jsp?from=plwindow&amp;uu=/upload/window/REPORT/LGH-TW20-016.pdf","5등급"),HYPERLINK("http://www.lxhausys.co.kr/popup/rn/download/downloadPopup.jsp?from=plwindow&amp;uu=/upload/window/REPORT/LGH-TW20-016.pdf","등급외"))))))</f>
        <v>3등급</v>
      </c>
      <c r="L1096" s="5">
        <v>1.2330000000000001</v>
      </c>
      <c r="M1096" s="5" t="s">
        <v>22</v>
      </c>
      <c r="N1096" s="5" t="s">
        <v>607</v>
      </c>
      <c r="O1096" s="5" t="s">
        <v>19</v>
      </c>
      <c r="P1096" s="5" t="s">
        <v>19</v>
      </c>
      <c r="Q1096" s="5" t="s">
        <v>19</v>
      </c>
      <c r="R1096" s="5" t="s">
        <v>19</v>
      </c>
      <c r="S1096" s="5" t="s">
        <v>19</v>
      </c>
      <c r="T1096" s="5" t="s">
        <v>19</v>
      </c>
      <c r="U1096" s="5" t="s">
        <v>19</v>
      </c>
      <c r="V1096" s="5" t="s">
        <v>19</v>
      </c>
      <c r="W1096" s="5" t="s">
        <v>19</v>
      </c>
      <c r="X1096" s="19">
        <f t="shared" si="12"/>
        <v>1.2330000000000001</v>
      </c>
    </row>
    <row r="1097" spans="1:24">
      <c r="A1097" t="s">
        <v>271</v>
      </c>
      <c r="B1097" t="s">
        <v>271</v>
      </c>
      <c r="C1097" t="s">
        <v>20</v>
      </c>
      <c r="D1097" t="s">
        <v>158</v>
      </c>
      <c r="E1097" t="s">
        <v>19</v>
      </c>
      <c r="F1097" t="s">
        <v>25</v>
      </c>
      <c r="G1097" t="s">
        <v>182</v>
      </c>
      <c r="H1097" t="s">
        <v>241</v>
      </c>
      <c r="I1097" t="s">
        <v>19</v>
      </c>
      <c r="J1097" t="s">
        <v>74</v>
      </c>
      <c r="K1097" s="21" t="str">
        <f>IF(X1097&lt;=0.9,HYPERLINK("http://www.lxhausys.co.kr/popup/rn/download/downloadPopup.jsp?from=plwindow&amp;uu=/upload/window/REPORT/LGH-TW20-017.pdf","1등급"),IF(X1097&lt;=1.2,HYPERLINK("http://www.lxhausys.co.kr/popup/rn/download/downloadPopup.jsp?from=plwindow&amp;uu=/upload/window/REPORT/LGH-TW20-017.pdf","2등급"),IF(X1097&lt;=1.8,HYPERLINK("http://www.lxhausys.co.kr/popup/rn/download/downloadPopup.jsp?from=plwindow&amp;uu=/upload/window/REPORT/LGH-TW20-017.pdf","3등급"),IF(X1097&lt;=2.3,HYPERLINK("http://www.lxhausys.co.kr/popup/rn/download/downloadPopup.jsp?from=plwindow&amp;uu=/upload/window/REPORT/LGH-TW20-017.pdf","4등급"),IF(X1097&lt;=2.8,HYPERLINK("http://www.lxhausys.co.kr/popup/rn/download/downloadPopup.jsp?from=plwindow&amp;uu=/upload/window/REPORT/LGH-TW20-017.pdf","5등급"),HYPERLINK("http://www.lxhausys.co.kr/popup/rn/download/downloadPopup.jsp?from=plwindow&amp;uu=/upload/window/REPORT/LGH-TW20-017.pdf","등급외"))))))</f>
        <v>2등급</v>
      </c>
      <c r="L1097" s="5">
        <v>0.96200000000000008</v>
      </c>
      <c r="M1097" s="5" t="s">
        <v>22</v>
      </c>
      <c r="N1097" s="5" t="s">
        <v>607</v>
      </c>
      <c r="O1097" s="5" t="s">
        <v>19</v>
      </c>
      <c r="P1097" s="5" t="s">
        <v>19</v>
      </c>
      <c r="Q1097" s="5" t="s">
        <v>19</v>
      </c>
      <c r="R1097" s="5" t="s">
        <v>19</v>
      </c>
      <c r="S1097" s="5" t="s">
        <v>19</v>
      </c>
      <c r="T1097" s="5" t="s">
        <v>19</v>
      </c>
      <c r="U1097" s="5" t="s">
        <v>19</v>
      </c>
      <c r="V1097" s="5" t="s">
        <v>19</v>
      </c>
      <c r="W1097" s="5" t="s">
        <v>19</v>
      </c>
      <c r="X1097" s="19">
        <f t="shared" si="12"/>
        <v>0.96200000000000008</v>
      </c>
    </row>
    <row r="1098" spans="1:24">
      <c r="A1098" t="s">
        <v>271</v>
      </c>
      <c r="B1098" t="s">
        <v>271</v>
      </c>
      <c r="C1098" t="s">
        <v>20</v>
      </c>
      <c r="D1098" t="s">
        <v>272</v>
      </c>
      <c r="E1098" t="s">
        <v>19</v>
      </c>
      <c r="F1098" t="s">
        <v>241</v>
      </c>
      <c r="G1098" t="s">
        <v>182</v>
      </c>
      <c r="H1098" t="s">
        <v>241</v>
      </c>
      <c r="I1098" t="s">
        <v>19</v>
      </c>
      <c r="J1098" t="s">
        <v>74</v>
      </c>
      <c r="K1098" s="21" t="str">
        <f>IF(X1098&lt;=0.9,HYPERLINK("http://www.lxhausys.co.kr/popup/rn/download/downloadPopup.jsp?from=plwindow&amp;uu=/upload/window/REPORT/LGH-TW20-018.pdf","1등급"),IF(X1098&lt;=1.2,HYPERLINK("http://www.lxhausys.co.kr/popup/rn/download/downloadPopup.jsp?from=plwindow&amp;uu=/upload/window/REPORT/LGH-TW20-018.pdf","2등급"),IF(X1098&lt;=1.8,HYPERLINK("http://www.lxhausys.co.kr/popup/rn/download/downloadPopup.jsp?from=plwindow&amp;uu=/upload/window/REPORT/LGH-TW20-018.pdf","3등급"),IF(X1098&lt;=2.3,HYPERLINK("http://www.lxhausys.co.kr/popup/rn/download/downloadPopup.jsp?from=plwindow&amp;uu=/upload/window/REPORT/LGH-TW20-018.pdf","4등급"),IF(X1098&lt;=2.8,HYPERLINK("http://www.lxhausys.co.kr/popup/rn/download/downloadPopup.jsp?from=plwindow&amp;uu=/upload/window/REPORT/LGH-TW20-018.pdf","5등급"),HYPERLINK("http://www.lxhausys.co.kr/popup/rn/download/downloadPopup.jsp?from=plwindow&amp;uu=/upload/window/REPORT/LGH-TW20-018.pdf","등급외"))))))</f>
        <v>1등급</v>
      </c>
      <c r="L1098" s="5">
        <v>0.81099999999999994</v>
      </c>
      <c r="M1098" s="5" t="s">
        <v>22</v>
      </c>
      <c r="N1098" s="5" t="s">
        <v>607</v>
      </c>
      <c r="O1098" s="5" t="s">
        <v>19</v>
      </c>
      <c r="P1098" s="5" t="s">
        <v>19</v>
      </c>
      <c r="Q1098" s="5" t="s">
        <v>19</v>
      </c>
      <c r="R1098" s="5" t="s">
        <v>19</v>
      </c>
      <c r="S1098" s="5" t="s">
        <v>19</v>
      </c>
      <c r="T1098" s="5" t="s">
        <v>19</v>
      </c>
      <c r="U1098" s="5" t="s">
        <v>19</v>
      </c>
      <c r="V1098" s="5" t="s">
        <v>19</v>
      </c>
      <c r="W1098" s="5" t="s">
        <v>19</v>
      </c>
      <c r="X1098" s="19">
        <f t="shared" si="12"/>
        <v>0.81099999999999994</v>
      </c>
    </row>
    <row r="1099" spans="1:24">
      <c r="A1099" t="s">
        <v>73</v>
      </c>
      <c r="B1099" t="s">
        <v>73</v>
      </c>
      <c r="C1099" t="s">
        <v>14</v>
      </c>
      <c r="D1099" t="s">
        <v>32</v>
      </c>
      <c r="E1099" t="s">
        <v>19</v>
      </c>
      <c r="F1099" t="s">
        <v>19</v>
      </c>
      <c r="G1099" t="s">
        <v>19</v>
      </c>
      <c r="H1099" t="s">
        <v>89</v>
      </c>
      <c r="I1099" t="s">
        <v>19</v>
      </c>
      <c r="J1099" t="s">
        <v>74</v>
      </c>
      <c r="K1099" s="21" t="s">
        <v>607</v>
      </c>
      <c r="L1099" s="5" t="s">
        <v>19</v>
      </c>
      <c r="M1099" s="5" t="s">
        <v>19</v>
      </c>
      <c r="N1099" s="5" t="s">
        <v>19</v>
      </c>
      <c r="O1099" s="5" t="s">
        <v>19</v>
      </c>
      <c r="P1099" s="5" t="s">
        <v>19</v>
      </c>
      <c r="Q1099" s="5" t="s">
        <v>19</v>
      </c>
      <c r="R1099" s="5" t="s">
        <v>19</v>
      </c>
      <c r="S1099" s="5" t="s">
        <v>19</v>
      </c>
      <c r="T1099" s="5" t="str">
        <f>HYPERLINK("http://www.lghausys.co.kr/popup/rn/download/downloadPopup.jsp?from=plwindow&amp;uu=/upload/window/REPORT/LGH-DA20-010.pdf","결로발생없음")</f>
        <v>결로발생없음</v>
      </c>
      <c r="U1099" s="5" t="s">
        <v>19</v>
      </c>
      <c r="V1099" s="5" t="s">
        <v>19</v>
      </c>
      <c r="W1099" s="5" t="s">
        <v>75</v>
      </c>
      <c r="X1099"/>
    </row>
    <row r="1100" spans="1:24">
      <c r="A1100" t="s">
        <v>449</v>
      </c>
      <c r="B1100" t="s">
        <v>449</v>
      </c>
      <c r="C1100" t="s">
        <v>31</v>
      </c>
      <c r="D1100" t="s">
        <v>102</v>
      </c>
      <c r="E1100" t="s">
        <v>19</v>
      </c>
      <c r="F1100" t="s">
        <v>19</v>
      </c>
      <c r="G1100" t="s">
        <v>19</v>
      </c>
      <c r="H1100" t="s">
        <v>19</v>
      </c>
      <c r="I1100" t="s">
        <v>19</v>
      </c>
      <c r="J1100" t="s">
        <v>74</v>
      </c>
      <c r="K1100" s="21" t="s">
        <v>607</v>
      </c>
      <c r="L1100" s="5" t="s">
        <v>19</v>
      </c>
      <c r="M1100" s="5" t="s">
        <v>19</v>
      </c>
      <c r="N1100" s="5" t="s">
        <v>19</v>
      </c>
      <c r="O1100" s="5" t="s">
        <v>19</v>
      </c>
      <c r="P1100" s="5" t="s">
        <v>19</v>
      </c>
      <c r="Q1100" s="5" t="str">
        <f>HYPERLINK("http://www.lghausys.co.kr/popup/rn/download/downloadPopup.jsp?from=plwindow&amp;uu=/upload/window/REPORT/LGH-WA20-065.pdf","100등급")</f>
        <v>100등급</v>
      </c>
      <c r="R1100" s="5" t="s">
        <v>19</v>
      </c>
      <c r="S1100" s="5" t="s">
        <v>19</v>
      </c>
      <c r="T1100" s="5" t="s">
        <v>19</v>
      </c>
      <c r="U1100" s="5" t="s">
        <v>19</v>
      </c>
      <c r="V1100" s="5" t="s">
        <v>19</v>
      </c>
      <c r="W1100" s="5" t="s">
        <v>152</v>
      </c>
      <c r="X1100"/>
    </row>
    <row r="1101" spans="1:24">
      <c r="A1101" t="s">
        <v>271</v>
      </c>
      <c r="B1101" t="s">
        <v>271</v>
      </c>
      <c r="C1101" t="s">
        <v>34</v>
      </c>
      <c r="D1101" t="s">
        <v>272</v>
      </c>
      <c r="E1101" t="s">
        <v>19</v>
      </c>
      <c r="F1101" t="s">
        <v>241</v>
      </c>
      <c r="G1101" t="s">
        <v>182</v>
      </c>
      <c r="H1101" t="s">
        <v>241</v>
      </c>
      <c r="I1101" t="s">
        <v>19</v>
      </c>
      <c r="J1101" t="s">
        <v>74</v>
      </c>
      <c r="K1101" s="21" t="s">
        <v>607</v>
      </c>
      <c r="L1101" s="5" t="s">
        <v>19</v>
      </c>
      <c r="M1101" s="5" t="s">
        <v>19</v>
      </c>
      <c r="N1101" s="5" t="str">
        <f>HYPERLINK("http://www.lghausys.co.kr/popup/rn/download/downloadPopup.jsp?from=plwindow&amp;uu=/upload/window/REPORT/LGH-TA20-076.pdf","0.802")</f>
        <v>0.802</v>
      </c>
      <c r="O1101" s="5" t="s">
        <v>19</v>
      </c>
      <c r="P1101" s="5" t="s">
        <v>19</v>
      </c>
      <c r="Q1101" s="5" t="s">
        <v>19</v>
      </c>
      <c r="R1101" s="5" t="s">
        <v>19</v>
      </c>
      <c r="S1101" s="5" t="s">
        <v>19</v>
      </c>
      <c r="T1101" s="5" t="s">
        <v>19</v>
      </c>
      <c r="U1101" s="5" t="s">
        <v>19</v>
      </c>
      <c r="V1101" s="5" t="s">
        <v>19</v>
      </c>
      <c r="W1101" s="5" t="s">
        <v>75</v>
      </c>
      <c r="X1101"/>
    </row>
    <row r="1102" spans="1:24">
      <c r="A1102" t="s">
        <v>271</v>
      </c>
      <c r="B1102" t="s">
        <v>271</v>
      </c>
      <c r="C1102" t="s">
        <v>34</v>
      </c>
      <c r="D1102" t="s">
        <v>158</v>
      </c>
      <c r="E1102" t="s">
        <v>19</v>
      </c>
      <c r="F1102" t="s">
        <v>25</v>
      </c>
      <c r="G1102" t="s">
        <v>182</v>
      </c>
      <c r="H1102" t="s">
        <v>241</v>
      </c>
      <c r="I1102" t="s">
        <v>19</v>
      </c>
      <c r="J1102" t="s">
        <v>74</v>
      </c>
      <c r="K1102" s="21" t="s">
        <v>607</v>
      </c>
      <c r="L1102" s="5" t="s">
        <v>19</v>
      </c>
      <c r="M1102" s="5" t="s">
        <v>19</v>
      </c>
      <c r="N1102" s="5" t="str">
        <f>HYPERLINK("http://www.lghausys.co.kr/popup/rn/download/downloadPopup.jsp?from=plwindow&amp;uu=/upload/window/REPORT/LGH-TA20-077.pdf","0.957")</f>
        <v>0.957</v>
      </c>
      <c r="O1102" s="5" t="s">
        <v>19</v>
      </c>
      <c r="P1102" s="5" t="s">
        <v>19</v>
      </c>
      <c r="Q1102" s="5" t="s">
        <v>19</v>
      </c>
      <c r="R1102" s="5" t="s">
        <v>19</v>
      </c>
      <c r="S1102" s="5" t="s">
        <v>19</v>
      </c>
      <c r="T1102" s="5" t="s">
        <v>19</v>
      </c>
      <c r="U1102" s="5" t="s">
        <v>19</v>
      </c>
      <c r="V1102" s="5" t="s">
        <v>19</v>
      </c>
      <c r="W1102" s="5" t="s">
        <v>75</v>
      </c>
      <c r="X1102"/>
    </row>
    <row r="1103" spans="1:24">
      <c r="A1103" t="s">
        <v>271</v>
      </c>
      <c r="B1103" t="s">
        <v>271</v>
      </c>
      <c r="C1103" t="s">
        <v>34</v>
      </c>
      <c r="D1103" t="s">
        <v>158</v>
      </c>
      <c r="E1103" t="s">
        <v>19</v>
      </c>
      <c r="F1103" t="s">
        <v>25</v>
      </c>
      <c r="G1103" t="s">
        <v>182</v>
      </c>
      <c r="H1103" t="s">
        <v>25</v>
      </c>
      <c r="I1103" t="s">
        <v>19</v>
      </c>
      <c r="J1103" t="s">
        <v>74</v>
      </c>
      <c r="K1103" s="21" t="s">
        <v>607</v>
      </c>
      <c r="L1103" s="5" t="s">
        <v>19</v>
      </c>
      <c r="M1103" s="5" t="s">
        <v>19</v>
      </c>
      <c r="N1103" s="5" t="str">
        <f>HYPERLINK("http://www.lghausys.co.kr/popup/rn/download/downloadPopup.jsp?from=plwindow&amp;uu=/upload/window/REPORT/LGH-TA20-078.pdf","1.235")</f>
        <v>1.235</v>
      </c>
      <c r="O1103" s="5" t="s">
        <v>19</v>
      </c>
      <c r="P1103" s="5" t="s">
        <v>19</v>
      </c>
      <c r="Q1103" s="5" t="s">
        <v>19</v>
      </c>
      <c r="R1103" s="5" t="s">
        <v>19</v>
      </c>
      <c r="S1103" s="5" t="s">
        <v>19</v>
      </c>
      <c r="T1103" s="5" t="s">
        <v>19</v>
      </c>
      <c r="U1103" s="5" t="s">
        <v>19</v>
      </c>
      <c r="V1103" s="5" t="s">
        <v>19</v>
      </c>
      <c r="W1103" s="5" t="s">
        <v>75</v>
      </c>
      <c r="X1103"/>
    </row>
    <row r="1104" spans="1:24">
      <c r="A1104" t="s">
        <v>52</v>
      </c>
      <c r="B1104" t="s">
        <v>52</v>
      </c>
      <c r="C1104" t="s">
        <v>34</v>
      </c>
      <c r="D1104" t="s">
        <v>28</v>
      </c>
      <c r="E1104" t="s">
        <v>19</v>
      </c>
      <c r="F1104" t="s">
        <v>19</v>
      </c>
      <c r="G1104" t="s">
        <v>19</v>
      </c>
      <c r="H1104" t="s">
        <v>28</v>
      </c>
      <c r="I1104" t="s">
        <v>19</v>
      </c>
      <c r="J1104" t="s">
        <v>145</v>
      </c>
      <c r="K1104" s="21" t="s">
        <v>607</v>
      </c>
      <c r="L1104" s="5" t="s">
        <v>19</v>
      </c>
      <c r="M1104" s="5" t="s">
        <v>19</v>
      </c>
      <c r="N1104" s="5" t="str">
        <f>HYPERLINK("http://www.lghausys.co.kr/popup/rn/download/downloadPopup.jsp?from=plwindow&amp;uu=/upload/window/REPORT/LGH-TA20-084.pdf","0.864")</f>
        <v>0.864</v>
      </c>
      <c r="O1104" s="5" t="s">
        <v>19</v>
      </c>
      <c r="P1104" s="5" t="s">
        <v>19</v>
      </c>
      <c r="Q1104" s="5" t="s">
        <v>19</v>
      </c>
      <c r="R1104" s="5" t="s">
        <v>19</v>
      </c>
      <c r="S1104" s="5" t="s">
        <v>19</v>
      </c>
      <c r="T1104" s="5" t="s">
        <v>19</v>
      </c>
      <c r="U1104" s="5" t="s">
        <v>19</v>
      </c>
      <c r="V1104" s="5" t="s">
        <v>19</v>
      </c>
      <c r="W1104" s="5" t="s">
        <v>75</v>
      </c>
      <c r="X1104"/>
    </row>
    <row r="1105" spans="1:24">
      <c r="A1105" t="s">
        <v>61</v>
      </c>
      <c r="B1105" t="s">
        <v>61</v>
      </c>
      <c r="C1105" t="s">
        <v>34</v>
      </c>
      <c r="D1105" t="s">
        <v>64</v>
      </c>
      <c r="E1105" t="s">
        <v>19</v>
      </c>
      <c r="F1105" t="s">
        <v>19</v>
      </c>
      <c r="G1105" t="s">
        <v>19</v>
      </c>
      <c r="H1105" t="s">
        <v>19</v>
      </c>
      <c r="I1105" t="s">
        <v>19</v>
      </c>
      <c r="J1105" t="s">
        <v>74</v>
      </c>
      <c r="K1105" s="21" t="s">
        <v>607</v>
      </c>
      <c r="L1105" s="5" t="s">
        <v>19</v>
      </c>
      <c r="M1105" s="5" t="s">
        <v>19</v>
      </c>
      <c r="N1105" s="5" t="str">
        <f>HYPERLINK("http://www.lghausys.co.kr/popup/rn/download/downloadPopup.jsp?from=plwindow&amp;uu=/upload/window/REPORT/LGH-TA20-087.pdf","2.273")</f>
        <v>2.273</v>
      </c>
      <c r="O1105" s="5" t="s">
        <v>19</v>
      </c>
      <c r="P1105" s="5" t="s">
        <v>19</v>
      </c>
      <c r="Q1105" s="5" t="s">
        <v>19</v>
      </c>
      <c r="R1105" s="5" t="s">
        <v>19</v>
      </c>
      <c r="S1105" s="5" t="s">
        <v>19</v>
      </c>
      <c r="T1105" s="5" t="s">
        <v>19</v>
      </c>
      <c r="U1105" s="5" t="s">
        <v>19</v>
      </c>
      <c r="V1105" s="5" t="s">
        <v>19</v>
      </c>
      <c r="W1105" s="5" t="s">
        <v>75</v>
      </c>
      <c r="X1105"/>
    </row>
    <row r="1106" spans="1:24">
      <c r="A1106" t="s">
        <v>449</v>
      </c>
      <c r="B1106" t="s">
        <v>449</v>
      </c>
      <c r="C1106" t="s">
        <v>34</v>
      </c>
      <c r="D1106" t="s">
        <v>21</v>
      </c>
      <c r="E1106" t="s">
        <v>19</v>
      </c>
      <c r="F1106" t="s">
        <v>19</v>
      </c>
      <c r="G1106" t="s">
        <v>19</v>
      </c>
      <c r="H1106" t="s">
        <v>19</v>
      </c>
      <c r="I1106" t="s">
        <v>19</v>
      </c>
      <c r="J1106" t="s">
        <v>74</v>
      </c>
      <c r="K1106" s="21" t="s">
        <v>607</v>
      </c>
      <c r="L1106" s="5" t="s">
        <v>19</v>
      </c>
      <c r="M1106" s="5" t="s">
        <v>19</v>
      </c>
      <c r="N1106" s="5" t="str">
        <f>HYPERLINK("http://www.lghausys.co.kr/popup/rn/download/downloadPopup.jsp?from=plwindow&amp;uu=/upload/window/REPORT/LGH-TA20-090.pdf","1.481")</f>
        <v>1.481</v>
      </c>
      <c r="O1106" s="5" t="s">
        <v>19</v>
      </c>
      <c r="P1106" s="5" t="s">
        <v>19</v>
      </c>
      <c r="Q1106" s="5" t="s">
        <v>19</v>
      </c>
      <c r="R1106" s="5" t="s">
        <v>19</v>
      </c>
      <c r="S1106" s="5" t="s">
        <v>19</v>
      </c>
      <c r="T1106" s="5" t="s">
        <v>19</v>
      </c>
      <c r="U1106" s="5" t="s">
        <v>19</v>
      </c>
      <c r="V1106" s="5" t="s">
        <v>19</v>
      </c>
      <c r="W1106" s="5" t="s">
        <v>75</v>
      </c>
      <c r="X1106"/>
    </row>
    <row r="1107" spans="1:24">
      <c r="A1107" t="s">
        <v>95</v>
      </c>
      <c r="B1107" t="s">
        <v>95</v>
      </c>
      <c r="C1107" t="s">
        <v>34</v>
      </c>
      <c r="D1107" t="s">
        <v>21</v>
      </c>
      <c r="E1107" t="s">
        <v>19</v>
      </c>
      <c r="F1107" t="s">
        <v>19</v>
      </c>
      <c r="G1107" t="s">
        <v>19</v>
      </c>
      <c r="H1107" t="s">
        <v>19</v>
      </c>
      <c r="I1107" t="s">
        <v>19</v>
      </c>
      <c r="J1107" t="s">
        <v>74</v>
      </c>
      <c r="K1107" s="21" t="s">
        <v>607</v>
      </c>
      <c r="L1107" s="5" t="s">
        <v>19</v>
      </c>
      <c r="M1107" s="5" t="s">
        <v>19</v>
      </c>
      <c r="N1107" s="5" t="str">
        <f>HYPERLINK("http://www.lghausys.co.kr/popup/rn/download/downloadPopup.jsp?from=plwindow&amp;uu=/upload/window/REPORT/LGH-TA20-093.pdf","1.742")</f>
        <v>1.742</v>
      </c>
      <c r="O1107" s="5" t="s">
        <v>19</v>
      </c>
      <c r="P1107" s="5" t="s">
        <v>19</v>
      </c>
      <c r="Q1107" s="5" t="s">
        <v>19</v>
      </c>
      <c r="R1107" s="5" t="s">
        <v>19</v>
      </c>
      <c r="S1107" s="5" t="s">
        <v>19</v>
      </c>
      <c r="T1107" s="5" t="s">
        <v>19</v>
      </c>
      <c r="U1107" s="5" t="s">
        <v>19</v>
      </c>
      <c r="V1107" s="5" t="s">
        <v>19</v>
      </c>
      <c r="W1107" s="5" t="s">
        <v>75</v>
      </c>
      <c r="X1107"/>
    </row>
    <row r="1108" spans="1:24">
      <c r="A1108" t="s">
        <v>95</v>
      </c>
      <c r="B1108" t="s">
        <v>95</v>
      </c>
      <c r="C1108" t="s">
        <v>34</v>
      </c>
      <c r="D1108" t="s">
        <v>21</v>
      </c>
      <c r="E1108" t="s">
        <v>19</v>
      </c>
      <c r="F1108" t="s">
        <v>19</v>
      </c>
      <c r="G1108" t="s">
        <v>19</v>
      </c>
      <c r="H1108" t="s">
        <v>19</v>
      </c>
      <c r="I1108" t="s">
        <v>19</v>
      </c>
      <c r="J1108" t="s">
        <v>74</v>
      </c>
      <c r="K1108" s="21" t="s">
        <v>607</v>
      </c>
      <c r="L1108" s="5" t="s">
        <v>19</v>
      </c>
      <c r="M1108" s="5" t="s">
        <v>19</v>
      </c>
      <c r="N1108" s="5" t="str">
        <f>HYPERLINK("http://www.lghausys.co.kr/popup/rn/download/downloadPopup.jsp?from=plwindow&amp;uu=/upload/window/REPORT/LGH-TA20-094.pdf","1.724")</f>
        <v>1.724</v>
      </c>
      <c r="O1108" s="5" t="s">
        <v>19</v>
      </c>
      <c r="P1108" s="5" t="s">
        <v>19</v>
      </c>
      <c r="Q1108" s="5" t="s">
        <v>19</v>
      </c>
      <c r="R1108" s="5" t="s">
        <v>19</v>
      </c>
      <c r="S1108" s="5" t="s">
        <v>19</v>
      </c>
      <c r="T1108" s="5" t="s">
        <v>19</v>
      </c>
      <c r="U1108" s="5" t="s">
        <v>19</v>
      </c>
      <c r="V1108" s="5" t="s">
        <v>19</v>
      </c>
      <c r="W1108" s="5" t="s">
        <v>75</v>
      </c>
      <c r="X1108"/>
    </row>
    <row r="1109" spans="1:24">
      <c r="A1109" t="s">
        <v>72</v>
      </c>
      <c r="B1109" t="s">
        <v>72</v>
      </c>
      <c r="C1109" t="s">
        <v>31</v>
      </c>
      <c r="D1109" t="s">
        <v>28</v>
      </c>
      <c r="E1109" t="s">
        <v>19</v>
      </c>
      <c r="F1109" t="s">
        <v>19</v>
      </c>
      <c r="G1109" t="s">
        <v>19</v>
      </c>
      <c r="H1109" t="s">
        <v>19</v>
      </c>
      <c r="I1109" t="s">
        <v>19</v>
      </c>
      <c r="J1109" t="s">
        <v>74</v>
      </c>
      <c r="K1109" s="21" t="s">
        <v>607</v>
      </c>
      <c r="L1109" s="5" t="s">
        <v>19</v>
      </c>
      <c r="M1109" s="5" t="s">
        <v>19</v>
      </c>
      <c r="N1109" s="5" t="s">
        <v>19</v>
      </c>
      <c r="O1109" s="5" t="str">
        <f>HYPERLINK("http://www.lghausys.co.kr/popup/rn/download/downloadPopup.jsp?from=plwindow&amp;uu=/upload/window/REPORT/LGH-WA20-073.pdf","2등급")</f>
        <v>2등급</v>
      </c>
      <c r="P1109" s="5" t="s">
        <v>19</v>
      </c>
      <c r="Q1109" s="5" t="s">
        <v>19</v>
      </c>
      <c r="R1109" s="5" t="s">
        <v>19</v>
      </c>
      <c r="S1109" s="5" t="s">
        <v>19</v>
      </c>
      <c r="T1109" s="5" t="s">
        <v>19</v>
      </c>
      <c r="U1109" s="5" t="s">
        <v>19</v>
      </c>
      <c r="V1109" s="5" t="s">
        <v>19</v>
      </c>
      <c r="W1109" s="5" t="s">
        <v>152</v>
      </c>
      <c r="X1109"/>
    </row>
    <row r="1110" spans="1:24">
      <c r="A1110" t="s">
        <v>73</v>
      </c>
      <c r="B1110" t="s">
        <v>73</v>
      </c>
      <c r="C1110" t="s">
        <v>14</v>
      </c>
      <c r="D1110" t="s">
        <v>28</v>
      </c>
      <c r="E1110" t="s">
        <v>19</v>
      </c>
      <c r="F1110" t="s">
        <v>19</v>
      </c>
      <c r="G1110" t="s">
        <v>19</v>
      </c>
      <c r="H1110" t="s">
        <v>28</v>
      </c>
      <c r="I1110" t="s">
        <v>19</v>
      </c>
      <c r="J1110" t="s">
        <v>145</v>
      </c>
      <c r="K1110" s="21" t="s">
        <v>607</v>
      </c>
      <c r="L1110" s="5" t="s">
        <v>19</v>
      </c>
      <c r="M1110" s="5" t="s">
        <v>19</v>
      </c>
      <c r="N1110" s="5" t="s">
        <v>19</v>
      </c>
      <c r="O1110" s="5" t="s">
        <v>19</v>
      </c>
      <c r="P1110" s="5" t="s">
        <v>19</v>
      </c>
      <c r="Q1110" s="5" t="s">
        <v>19</v>
      </c>
      <c r="R1110" s="5" t="s">
        <v>19</v>
      </c>
      <c r="S1110" s="5" t="s">
        <v>19</v>
      </c>
      <c r="T1110" s="5" t="str">
        <f>HYPERLINK("http://www.lghausys.co.kr/popup/rn/download/downloadPopup.jsp?from=plwindow&amp;uu=/upload/window/REPORT/LGH-DA20-015.pdf","결로발생없음")</f>
        <v>결로발생없음</v>
      </c>
      <c r="U1110" s="5" t="s">
        <v>19</v>
      </c>
      <c r="V1110" s="5" t="s">
        <v>19</v>
      </c>
      <c r="W1110" s="5" t="s">
        <v>75</v>
      </c>
      <c r="X1110"/>
    </row>
    <row r="1111" spans="1:24">
      <c r="A1111" t="s">
        <v>139</v>
      </c>
      <c r="B1111" t="s">
        <v>139</v>
      </c>
      <c r="C1111" t="s">
        <v>14</v>
      </c>
      <c r="D1111" t="s">
        <v>158</v>
      </c>
      <c r="E1111" t="s">
        <v>19</v>
      </c>
      <c r="F1111" t="s">
        <v>25</v>
      </c>
      <c r="G1111" t="s">
        <v>182</v>
      </c>
      <c r="H1111" t="s">
        <v>28</v>
      </c>
      <c r="I1111" t="s">
        <v>19</v>
      </c>
      <c r="J1111" t="s">
        <v>97</v>
      </c>
      <c r="K1111" s="21" t="s">
        <v>607</v>
      </c>
      <c r="L1111" s="5" t="s">
        <v>19</v>
      </c>
      <c r="M1111" s="5" t="s">
        <v>19</v>
      </c>
      <c r="N1111" s="5" t="s">
        <v>19</v>
      </c>
      <c r="O1111" s="5" t="s">
        <v>19</v>
      </c>
      <c r="P1111" s="5" t="s">
        <v>19</v>
      </c>
      <c r="Q1111" s="5" t="s">
        <v>19</v>
      </c>
      <c r="R1111" s="5" t="s">
        <v>19</v>
      </c>
      <c r="S1111" s="5" t="s">
        <v>19</v>
      </c>
      <c r="T1111" s="5" t="str">
        <f>HYPERLINK("http://www.lghausys.co.kr/popup/rn/download/downloadPopup.jsp?from=plwindow&amp;uu=/upload/window/REPORT/LGH-DA20-016.pdf","결로발생없음")</f>
        <v>결로발생없음</v>
      </c>
      <c r="U1111" s="5" t="s">
        <v>19</v>
      </c>
      <c r="V1111" s="5" t="s">
        <v>19</v>
      </c>
      <c r="W1111" s="5" t="s">
        <v>75</v>
      </c>
      <c r="X1111"/>
    </row>
    <row r="1112" spans="1:24">
      <c r="A1112" t="s">
        <v>441</v>
      </c>
      <c r="B1112" t="s">
        <v>441</v>
      </c>
      <c r="C1112" t="s">
        <v>34</v>
      </c>
      <c r="D1112" t="s">
        <v>276</v>
      </c>
      <c r="E1112" t="s">
        <v>19</v>
      </c>
      <c r="F1112" t="s">
        <v>19</v>
      </c>
      <c r="G1112" t="s">
        <v>19</v>
      </c>
      <c r="H1112" t="s">
        <v>19</v>
      </c>
      <c r="I1112" t="s">
        <v>19</v>
      </c>
      <c r="J1112" t="s">
        <v>97</v>
      </c>
      <c r="K1112" s="21" t="s">
        <v>607</v>
      </c>
      <c r="L1112" s="5" t="s">
        <v>19</v>
      </c>
      <c r="M1112" s="5" t="s">
        <v>19</v>
      </c>
      <c r="N1112" s="5" t="str">
        <f>HYPERLINK("http://www.lghausys.co.kr/popup/rn/download/downloadPopup.jsp?from=plwindow&amp;uu=/upload/window/REPORT/CT17-045198.pdf","1.0289")</f>
        <v>1.0289</v>
      </c>
      <c r="O1112" s="5" t="s">
        <v>19</v>
      </c>
      <c r="P1112" s="5" t="s">
        <v>19</v>
      </c>
      <c r="Q1112" s="5" t="s">
        <v>19</v>
      </c>
      <c r="R1112" s="5" t="s">
        <v>19</v>
      </c>
      <c r="S1112" s="5" t="s">
        <v>19</v>
      </c>
      <c r="T1112" s="5" t="s">
        <v>19</v>
      </c>
      <c r="U1112" s="5" t="s">
        <v>19</v>
      </c>
      <c r="V1112" s="5" t="s">
        <v>19</v>
      </c>
      <c r="W1112" s="5" t="s">
        <v>75</v>
      </c>
      <c r="X1112"/>
    </row>
    <row r="1113" spans="1:24">
      <c r="A1113" t="s">
        <v>250</v>
      </c>
      <c r="B1113" t="s">
        <v>250</v>
      </c>
      <c r="C1113" t="s">
        <v>277</v>
      </c>
      <c r="D1113" t="s">
        <v>204</v>
      </c>
      <c r="E1113" t="s">
        <v>19</v>
      </c>
      <c r="F1113" t="s">
        <v>68</v>
      </c>
      <c r="G1113" t="s">
        <v>182</v>
      </c>
      <c r="H1113" t="s">
        <v>278</v>
      </c>
      <c r="I1113" t="s">
        <v>19</v>
      </c>
      <c r="J1113" t="s">
        <v>19</v>
      </c>
      <c r="K1113" s="21" t="s">
        <v>607</v>
      </c>
      <c r="L1113" s="5" t="s">
        <v>19</v>
      </c>
      <c r="M1113" s="5" t="s">
        <v>19</v>
      </c>
      <c r="N1113" s="5" t="s">
        <v>19</v>
      </c>
      <c r="O1113" s="5" t="s">
        <v>19</v>
      </c>
      <c r="P1113" s="5" t="s">
        <v>19</v>
      </c>
      <c r="Q1113" s="5" t="s">
        <v>19</v>
      </c>
      <c r="R1113" s="5" t="s">
        <v>19</v>
      </c>
      <c r="S1113" s="5" t="s">
        <v>19</v>
      </c>
      <c r="T1113" s="5" t="s">
        <v>19</v>
      </c>
      <c r="U1113" s="5" t="s">
        <v>19</v>
      </c>
      <c r="V1113" s="5" t="str">
        <f>HYPERLINK("http://www.lghausys.co.kr/popup/rn/download/downloadPopup.jsp?from=plwindow&amp;uu=/upload/window/REPORT/CT20-031990K.pdf","PASS")</f>
        <v>PASS</v>
      </c>
      <c r="W1113" s="5" t="s">
        <v>19</v>
      </c>
      <c r="X1113"/>
    </row>
    <row r="1114" spans="1:24">
      <c r="A1114" t="s">
        <v>95</v>
      </c>
      <c r="B1114" t="s">
        <v>95</v>
      </c>
      <c r="C1114" t="s">
        <v>31</v>
      </c>
      <c r="D1114" t="s">
        <v>21</v>
      </c>
      <c r="E1114" t="s">
        <v>19</v>
      </c>
      <c r="F1114" t="s">
        <v>19</v>
      </c>
      <c r="G1114" t="s">
        <v>19</v>
      </c>
      <c r="H1114" t="s">
        <v>19</v>
      </c>
      <c r="I1114" t="s">
        <v>19</v>
      </c>
      <c r="J1114" t="s">
        <v>74</v>
      </c>
      <c r="K1114" s="21" t="s">
        <v>607</v>
      </c>
      <c r="L1114" s="5" t="s">
        <v>19</v>
      </c>
      <c r="M1114" s="5" t="s">
        <v>19</v>
      </c>
      <c r="N1114" s="5" t="s">
        <v>19</v>
      </c>
      <c r="O1114" s="5" t="str">
        <f>HYPERLINK("http://www.lghausys.co.kr/popup/rn/download/downloadPopup.jsp?from=plwindow&amp;uu=/upload/window/REPORT/LGH-WA20-084.pdf","1등급")</f>
        <v>1등급</v>
      </c>
      <c r="P1114" s="5" t="s">
        <v>19</v>
      </c>
      <c r="Q1114" s="5" t="s">
        <v>19</v>
      </c>
      <c r="R1114" s="5" t="s">
        <v>19</v>
      </c>
      <c r="S1114" s="5" t="s">
        <v>19</v>
      </c>
      <c r="T1114" s="5" t="s">
        <v>19</v>
      </c>
      <c r="U1114" s="5" t="s">
        <v>19</v>
      </c>
      <c r="V1114" s="5" t="s">
        <v>19</v>
      </c>
      <c r="W1114" s="5" t="s">
        <v>152</v>
      </c>
      <c r="X1114"/>
    </row>
    <row r="1115" spans="1:24">
      <c r="A1115" t="s">
        <v>95</v>
      </c>
      <c r="B1115" t="s">
        <v>95</v>
      </c>
      <c r="C1115" t="s">
        <v>31</v>
      </c>
      <c r="D1115" t="s">
        <v>25</v>
      </c>
      <c r="E1115" t="s">
        <v>19</v>
      </c>
      <c r="F1115" t="s">
        <v>19</v>
      </c>
      <c r="G1115" t="s">
        <v>19</v>
      </c>
      <c r="H1115" t="s">
        <v>19</v>
      </c>
      <c r="I1115" t="s">
        <v>19</v>
      </c>
      <c r="J1115" t="s">
        <v>74</v>
      </c>
      <c r="K1115" s="21" t="s">
        <v>607</v>
      </c>
      <c r="L1115" s="5" t="s">
        <v>19</v>
      </c>
      <c r="M1115" s="5" t="s">
        <v>19</v>
      </c>
      <c r="N1115" s="5" t="s">
        <v>19</v>
      </c>
      <c r="O1115" s="5" t="str">
        <f>HYPERLINK("http://www.lghausys.co.kr/popup/rn/download/downloadPopup.jsp?from=plwindow&amp;uu=/upload/window/REPORT/LGH-WA20-085.pdf","1등급")</f>
        <v>1등급</v>
      </c>
      <c r="P1115" s="5" t="s">
        <v>19</v>
      </c>
      <c r="Q1115" s="5" t="s">
        <v>19</v>
      </c>
      <c r="R1115" s="5" t="s">
        <v>19</v>
      </c>
      <c r="S1115" s="5" t="s">
        <v>19</v>
      </c>
      <c r="T1115" s="5" t="s">
        <v>19</v>
      </c>
      <c r="U1115" s="5" t="s">
        <v>19</v>
      </c>
      <c r="V1115" s="5" t="s">
        <v>19</v>
      </c>
      <c r="W1115" s="5" t="s">
        <v>152</v>
      </c>
      <c r="X1115"/>
    </row>
    <row r="1116" spans="1:24">
      <c r="A1116" t="s">
        <v>61</v>
      </c>
      <c r="B1116" t="s">
        <v>61</v>
      </c>
      <c r="C1116" t="s">
        <v>31</v>
      </c>
      <c r="D1116" t="s">
        <v>21</v>
      </c>
      <c r="E1116" t="s">
        <v>19</v>
      </c>
      <c r="F1116" t="s">
        <v>19</v>
      </c>
      <c r="G1116" t="s">
        <v>19</v>
      </c>
      <c r="H1116" t="s">
        <v>19</v>
      </c>
      <c r="I1116" t="s">
        <v>19</v>
      </c>
      <c r="J1116" t="s">
        <v>74</v>
      </c>
      <c r="K1116" s="21" t="s">
        <v>607</v>
      </c>
      <c r="L1116" s="5" t="s">
        <v>19</v>
      </c>
      <c r="M1116" s="5" t="s">
        <v>19</v>
      </c>
      <c r="N1116" s="5" t="s">
        <v>19</v>
      </c>
      <c r="O1116" s="5" t="str">
        <f>HYPERLINK("http://www.lghausys.co.kr/popup/rn/download/downloadPopup.jsp?from=plwindow&amp;uu=/upload/window/REPORT/LGH-WA20-087.pdf","2등급")</f>
        <v>2등급</v>
      </c>
      <c r="P1116" s="5" t="s">
        <v>19</v>
      </c>
      <c r="Q1116" s="5" t="s">
        <v>19</v>
      </c>
      <c r="R1116" s="5" t="s">
        <v>19</v>
      </c>
      <c r="S1116" s="5" t="s">
        <v>19</v>
      </c>
      <c r="T1116" s="5" t="s">
        <v>19</v>
      </c>
      <c r="U1116" s="5" t="s">
        <v>19</v>
      </c>
      <c r="V1116" s="5" t="s">
        <v>19</v>
      </c>
      <c r="W1116" s="5" t="s">
        <v>152</v>
      </c>
      <c r="X1116"/>
    </row>
    <row r="1117" spans="1:24">
      <c r="A1117" t="s">
        <v>61</v>
      </c>
      <c r="B1117" t="s">
        <v>61</v>
      </c>
      <c r="C1117" t="s">
        <v>31</v>
      </c>
      <c r="D1117" t="s">
        <v>25</v>
      </c>
      <c r="E1117" t="s">
        <v>19</v>
      </c>
      <c r="F1117" t="s">
        <v>19</v>
      </c>
      <c r="G1117" t="s">
        <v>19</v>
      </c>
      <c r="H1117" t="s">
        <v>19</v>
      </c>
      <c r="I1117" t="s">
        <v>19</v>
      </c>
      <c r="J1117" t="s">
        <v>74</v>
      </c>
      <c r="K1117" s="21" t="s">
        <v>607</v>
      </c>
      <c r="L1117" s="5" t="s">
        <v>19</v>
      </c>
      <c r="M1117" s="5" t="s">
        <v>19</v>
      </c>
      <c r="N1117" s="5" t="s">
        <v>19</v>
      </c>
      <c r="O1117" s="5" t="str">
        <f>HYPERLINK("http://www.lghausys.co.kr/popup/rn/download/downloadPopup.jsp?from=plwindow&amp;uu=/upload/window/REPORT/LGH-WA20-088.pdf","2등급")</f>
        <v>2등급</v>
      </c>
      <c r="P1117" s="5" t="s">
        <v>19</v>
      </c>
      <c r="Q1117" s="5" t="s">
        <v>19</v>
      </c>
      <c r="R1117" s="5" t="s">
        <v>19</v>
      </c>
      <c r="S1117" s="5" t="s">
        <v>19</v>
      </c>
      <c r="T1117" s="5" t="s">
        <v>19</v>
      </c>
      <c r="U1117" s="5" t="s">
        <v>19</v>
      </c>
      <c r="V1117" s="5" t="s">
        <v>19</v>
      </c>
      <c r="W1117" s="5" t="s">
        <v>152</v>
      </c>
      <c r="X1117"/>
    </row>
    <row r="1118" spans="1:24">
      <c r="A1118" t="s">
        <v>73</v>
      </c>
      <c r="B1118" t="s">
        <v>73</v>
      </c>
      <c r="C1118" t="s">
        <v>31</v>
      </c>
      <c r="D1118" t="s">
        <v>28</v>
      </c>
      <c r="E1118" t="s">
        <v>19</v>
      </c>
      <c r="F1118" t="s">
        <v>19</v>
      </c>
      <c r="G1118" t="s">
        <v>19</v>
      </c>
      <c r="H1118" t="s">
        <v>25</v>
      </c>
      <c r="I1118" t="s">
        <v>19</v>
      </c>
      <c r="J1118" t="s">
        <v>74</v>
      </c>
      <c r="K1118" s="21" t="s">
        <v>607</v>
      </c>
      <c r="L1118" s="5" t="s">
        <v>19</v>
      </c>
      <c r="M1118" s="5" t="s">
        <v>19</v>
      </c>
      <c r="N1118" s="5" t="s">
        <v>19</v>
      </c>
      <c r="O1118" s="5" t="str">
        <f>HYPERLINK("http://www.lghausys.co.kr/popup/rn/download/downloadPopup.jsp?from=plwindow&amp;uu=/upload/window/REPORT/LGH-WA20-089.pdf","1등급")</f>
        <v>1등급</v>
      </c>
      <c r="P1118" s="5" t="s">
        <v>19</v>
      </c>
      <c r="Q1118" s="5" t="s">
        <v>19</v>
      </c>
      <c r="R1118" s="5" t="s">
        <v>19</v>
      </c>
      <c r="S1118" s="5" t="s">
        <v>19</v>
      </c>
      <c r="T1118" s="5" t="s">
        <v>19</v>
      </c>
      <c r="U1118" s="5" t="s">
        <v>19</v>
      </c>
      <c r="V1118" s="5" t="s">
        <v>19</v>
      </c>
      <c r="W1118" s="5" t="s">
        <v>152</v>
      </c>
      <c r="X1118"/>
    </row>
    <row r="1119" spans="1:24">
      <c r="A1119" t="s">
        <v>43</v>
      </c>
      <c r="B1119" t="s">
        <v>43</v>
      </c>
      <c r="C1119" t="s">
        <v>31</v>
      </c>
      <c r="D1119" t="s">
        <v>279</v>
      </c>
      <c r="E1119" t="s">
        <v>19</v>
      </c>
      <c r="F1119" t="s">
        <v>19</v>
      </c>
      <c r="G1119" t="s">
        <v>19</v>
      </c>
      <c r="H1119" t="s">
        <v>19</v>
      </c>
      <c r="I1119" t="s">
        <v>19</v>
      </c>
      <c r="J1119" t="s">
        <v>280</v>
      </c>
      <c r="K1119" s="21" t="s">
        <v>607</v>
      </c>
      <c r="L1119" s="5" t="s">
        <v>19</v>
      </c>
      <c r="M1119" s="5" t="s">
        <v>19</v>
      </c>
      <c r="N1119" s="5" t="s">
        <v>19</v>
      </c>
      <c r="O1119" s="5" t="str">
        <f>HYPERLINK("http://www.lghausys.co.kr/popup/rn/download/downloadPopup.jsp?from=plwindow&amp;uu=/upload/window/REPORT/LGH-WA20-091.pdf","1등급")</f>
        <v>1등급</v>
      </c>
      <c r="P1119" s="5" t="s">
        <v>19</v>
      </c>
      <c r="Q1119" s="5" t="s">
        <v>19</v>
      </c>
      <c r="R1119" s="5" t="s">
        <v>19</v>
      </c>
      <c r="S1119" s="5" t="s">
        <v>19</v>
      </c>
      <c r="T1119" s="5" t="s">
        <v>19</v>
      </c>
      <c r="U1119" s="5" t="s">
        <v>19</v>
      </c>
      <c r="V1119" s="5" t="s">
        <v>19</v>
      </c>
      <c r="W1119" s="5" t="s">
        <v>152</v>
      </c>
      <c r="X1119"/>
    </row>
    <row r="1120" spans="1:24">
      <c r="A1120" t="s">
        <v>95</v>
      </c>
      <c r="B1120" t="s">
        <v>95</v>
      </c>
      <c r="C1120" t="s">
        <v>31</v>
      </c>
      <c r="D1120" t="s">
        <v>25</v>
      </c>
      <c r="E1120" t="s">
        <v>19</v>
      </c>
      <c r="F1120" t="s">
        <v>19</v>
      </c>
      <c r="G1120" t="s">
        <v>19</v>
      </c>
      <c r="H1120" t="s">
        <v>19</v>
      </c>
      <c r="I1120" t="s">
        <v>19</v>
      </c>
      <c r="J1120" t="s">
        <v>74</v>
      </c>
      <c r="K1120" s="21" t="s">
        <v>607</v>
      </c>
      <c r="L1120" s="5" t="s">
        <v>19</v>
      </c>
      <c r="M1120" s="5" t="s">
        <v>19</v>
      </c>
      <c r="N1120" s="5" t="s">
        <v>19</v>
      </c>
      <c r="O1120" s="5" t="s">
        <v>19</v>
      </c>
      <c r="P1120" s="5" t="str">
        <f>HYPERLINK("http://www.lghausys.co.kr/popup/rn/download/downloadPopup.jsp?from=plwindow&amp;uu=/upload/window/REPORT/LGH-WA20-093.pdf","35등급")</f>
        <v>35등급</v>
      </c>
      <c r="Q1120" s="5" t="str">
        <f>HYPERLINK("http://www.lghausys.co.kr/popup/rn/download/downloadPopup.jsp?from=plwindow&amp;uu=/upload/window/REPORT/LGH-WA20-093.pdf","240등급")</f>
        <v>240등급</v>
      </c>
      <c r="R1120" s="5" t="s">
        <v>19</v>
      </c>
      <c r="S1120" s="5" t="s">
        <v>19</v>
      </c>
      <c r="T1120" s="5" t="s">
        <v>19</v>
      </c>
      <c r="U1120" s="5" t="s">
        <v>19</v>
      </c>
      <c r="V1120" s="5" t="s">
        <v>19</v>
      </c>
      <c r="W1120" s="5" t="s">
        <v>152</v>
      </c>
      <c r="X1120"/>
    </row>
    <row r="1121" spans="1:24">
      <c r="A1121" t="s">
        <v>61</v>
      </c>
      <c r="B1121" t="s">
        <v>61</v>
      </c>
      <c r="C1121" t="s">
        <v>31</v>
      </c>
      <c r="D1121" t="s">
        <v>25</v>
      </c>
      <c r="E1121" t="s">
        <v>19</v>
      </c>
      <c r="F1121" t="s">
        <v>19</v>
      </c>
      <c r="G1121" t="s">
        <v>19</v>
      </c>
      <c r="H1121" t="s">
        <v>19</v>
      </c>
      <c r="I1121" t="s">
        <v>19</v>
      </c>
      <c r="J1121" t="s">
        <v>74</v>
      </c>
      <c r="K1121" s="21" t="s">
        <v>607</v>
      </c>
      <c r="L1121" s="5" t="s">
        <v>19</v>
      </c>
      <c r="M1121" s="5" t="s">
        <v>19</v>
      </c>
      <c r="N1121" s="5" t="s">
        <v>19</v>
      </c>
      <c r="O1121" s="5" t="s">
        <v>19</v>
      </c>
      <c r="P1121" s="5" t="str">
        <f>HYPERLINK("http://www.lghausys.co.kr/popup/rn/download/downloadPopup.jsp?from=plwindow&amp;uu=/upload/window/REPORT/LGH-WA20-095.pdf","15등급")</f>
        <v>15등급</v>
      </c>
      <c r="Q1121" s="5" t="str">
        <f>HYPERLINK("http://www.lghausys.co.kr/popup/rn/download/downloadPopup.jsp?from=plwindow&amp;uu=/upload/window/REPORT/LGH-WA20-095.pdf","240등급")</f>
        <v>240등급</v>
      </c>
      <c r="R1121" s="5" t="s">
        <v>19</v>
      </c>
      <c r="S1121" s="5" t="s">
        <v>19</v>
      </c>
      <c r="T1121" s="5" t="s">
        <v>19</v>
      </c>
      <c r="U1121" s="5" t="s">
        <v>19</v>
      </c>
      <c r="V1121" s="5" t="s">
        <v>19</v>
      </c>
      <c r="W1121" s="5" t="s">
        <v>152</v>
      </c>
      <c r="X1121"/>
    </row>
    <row r="1122" spans="1:24">
      <c r="A1122" t="s">
        <v>73</v>
      </c>
      <c r="B1122" t="s">
        <v>73</v>
      </c>
      <c r="C1122" t="s">
        <v>31</v>
      </c>
      <c r="D1122" t="s">
        <v>28</v>
      </c>
      <c r="E1122" t="s">
        <v>19</v>
      </c>
      <c r="F1122" t="s">
        <v>19</v>
      </c>
      <c r="G1122" t="s">
        <v>19</v>
      </c>
      <c r="H1122" t="s">
        <v>25</v>
      </c>
      <c r="I1122" t="s">
        <v>19</v>
      </c>
      <c r="J1122" t="s">
        <v>74</v>
      </c>
      <c r="K1122" s="21" t="s">
        <v>607</v>
      </c>
      <c r="L1122" s="5" t="s">
        <v>19</v>
      </c>
      <c r="M1122" s="5" t="s">
        <v>19</v>
      </c>
      <c r="N1122" s="5" t="s">
        <v>19</v>
      </c>
      <c r="O1122" s="5" t="s">
        <v>19</v>
      </c>
      <c r="P1122" s="5" t="str">
        <f>HYPERLINK("http://www.lghausys.co.kr/popup/rn/download/downloadPopup.jsp?from=plwindow&amp;uu=/upload/window/REPORT/LGH-WA20-096.pdf","50등급")</f>
        <v>50등급</v>
      </c>
      <c r="Q1122" s="5" t="str">
        <f>HYPERLINK("http://www.lghausys.co.kr/popup/rn/download/downloadPopup.jsp?from=plwindow&amp;uu=/upload/window/REPORT/LGH-WA20-096.pdf","360등급")</f>
        <v>360등급</v>
      </c>
      <c r="R1122" s="5" t="s">
        <v>19</v>
      </c>
      <c r="S1122" s="5" t="s">
        <v>19</v>
      </c>
      <c r="T1122" s="5" t="s">
        <v>19</v>
      </c>
      <c r="U1122" s="5" t="s">
        <v>19</v>
      </c>
      <c r="V1122" s="5" t="s">
        <v>19</v>
      </c>
      <c r="W1122" s="5" t="s">
        <v>152</v>
      </c>
      <c r="X1122"/>
    </row>
    <row r="1123" spans="1:24">
      <c r="A1123" t="s">
        <v>61</v>
      </c>
      <c r="B1123" t="s">
        <v>61</v>
      </c>
      <c r="C1123" t="s">
        <v>31</v>
      </c>
      <c r="D1123" t="s">
        <v>28</v>
      </c>
      <c r="E1123" t="s">
        <v>19</v>
      </c>
      <c r="F1123" t="s">
        <v>19</v>
      </c>
      <c r="G1123" t="s">
        <v>19</v>
      </c>
      <c r="H1123" t="s">
        <v>19</v>
      </c>
      <c r="I1123" t="s">
        <v>19</v>
      </c>
      <c r="J1123" t="s">
        <v>74</v>
      </c>
      <c r="K1123" s="21" t="s">
        <v>607</v>
      </c>
      <c r="L1123" s="5" t="s">
        <v>19</v>
      </c>
      <c r="M1123" s="5" t="s">
        <v>19</v>
      </c>
      <c r="N1123" s="5" t="s">
        <v>19</v>
      </c>
      <c r="O1123" s="5" t="str">
        <f>HYPERLINK("http://www.lghausys.co.kr/popup/rn/download/downloadPopup.jsp?from=plwindow&amp;uu=/upload/window/REPORT/LGH-WA20-097.pdf","2등급")</f>
        <v>2등급</v>
      </c>
      <c r="P1123" s="5" t="str">
        <f>HYPERLINK("http://www.lghausys.co.kr/popup/rn/download/downloadPopup.jsp?from=plwindow&amp;uu=/upload/window/REPORT/LGH-WA20-097.pdf","15등급")</f>
        <v>15등급</v>
      </c>
      <c r="Q1123" s="5" t="str">
        <f>HYPERLINK("http://www.lghausys.co.kr/popup/rn/download/downloadPopup.jsp?from=plwindow&amp;uu=/upload/window/REPORT/LGH-WA20-097.pdf","240등급")</f>
        <v>240등급</v>
      </c>
      <c r="R1123" s="5" t="s">
        <v>19</v>
      </c>
      <c r="S1123" s="5" t="s">
        <v>19</v>
      </c>
      <c r="T1123" s="5" t="s">
        <v>19</v>
      </c>
      <c r="U1123" s="5" t="s">
        <v>19</v>
      </c>
      <c r="V1123" s="5" t="s">
        <v>19</v>
      </c>
      <c r="W1123" s="5" t="s">
        <v>152</v>
      </c>
      <c r="X1123"/>
    </row>
    <row r="1124" spans="1:24">
      <c r="A1124" t="s">
        <v>42</v>
      </c>
      <c r="B1124" t="s">
        <v>42</v>
      </c>
      <c r="C1124" t="s">
        <v>34</v>
      </c>
      <c r="D1124" t="s">
        <v>76</v>
      </c>
      <c r="E1124" t="s">
        <v>19</v>
      </c>
      <c r="F1124" t="s">
        <v>19</v>
      </c>
      <c r="G1124" t="s">
        <v>19</v>
      </c>
      <c r="H1124" t="s">
        <v>19</v>
      </c>
      <c r="I1124" t="s">
        <v>19</v>
      </c>
      <c r="J1124" t="s">
        <v>97</v>
      </c>
      <c r="K1124" s="21" t="s">
        <v>607</v>
      </c>
      <c r="L1124" s="5" t="s">
        <v>19</v>
      </c>
      <c r="M1124" s="5" t="s">
        <v>19</v>
      </c>
      <c r="N1124" s="5" t="str">
        <f>HYPERLINK("http://www.lghausys.co.kr/popup/rn/download/downloadPopup.jsp?from=plwindow&amp;uu=/upload/window/REPORT/LGH-TA20-109.pdf","1.629")</f>
        <v>1.629</v>
      </c>
      <c r="O1124" s="5" t="s">
        <v>19</v>
      </c>
      <c r="P1124" s="5" t="s">
        <v>19</v>
      </c>
      <c r="Q1124" s="5" t="s">
        <v>19</v>
      </c>
      <c r="R1124" s="5" t="s">
        <v>19</v>
      </c>
      <c r="S1124" s="5" t="s">
        <v>19</v>
      </c>
      <c r="T1124" s="5" t="s">
        <v>19</v>
      </c>
      <c r="U1124" s="5" t="s">
        <v>19</v>
      </c>
      <c r="V1124" s="5" t="s">
        <v>19</v>
      </c>
      <c r="W1124" s="5" t="s">
        <v>75</v>
      </c>
      <c r="X1124"/>
    </row>
    <row r="1125" spans="1:24">
      <c r="A1125" t="s">
        <v>281</v>
      </c>
      <c r="B1125" t="s">
        <v>281</v>
      </c>
      <c r="C1125" t="s">
        <v>14</v>
      </c>
      <c r="D1125" t="s">
        <v>181</v>
      </c>
      <c r="E1125" t="s">
        <v>19</v>
      </c>
      <c r="F1125" t="s">
        <v>25</v>
      </c>
      <c r="G1125" t="s">
        <v>182</v>
      </c>
      <c r="H1125" t="s">
        <v>28</v>
      </c>
      <c r="I1125" t="s">
        <v>19</v>
      </c>
      <c r="J1125" t="s">
        <v>74</v>
      </c>
      <c r="K1125" s="21" t="s">
        <v>607</v>
      </c>
      <c r="L1125" s="5" t="s">
        <v>19</v>
      </c>
      <c r="M1125" s="5" t="s">
        <v>19</v>
      </c>
      <c r="N1125" s="5" t="s">
        <v>19</v>
      </c>
      <c r="O1125" s="5" t="s">
        <v>19</v>
      </c>
      <c r="P1125" s="5" t="s">
        <v>19</v>
      </c>
      <c r="Q1125" s="5" t="s">
        <v>19</v>
      </c>
      <c r="R1125" s="5" t="s">
        <v>19</v>
      </c>
      <c r="S1125" s="5" t="s">
        <v>19</v>
      </c>
      <c r="T1125" s="5" t="str">
        <f>HYPERLINK("http://www.lghausys.co.kr/popup/rn/download/downloadPopup.jsp?from=plwindow&amp;uu=/upload/window/REPORT/LGH-DA20-017.pdf","결로발생없음")</f>
        <v>결로발생없음</v>
      </c>
      <c r="U1125" s="5" t="s">
        <v>19</v>
      </c>
      <c r="V1125" s="5" t="s">
        <v>19</v>
      </c>
      <c r="W1125" s="5" t="s">
        <v>75</v>
      </c>
      <c r="X1125"/>
    </row>
    <row r="1126" spans="1:24">
      <c r="A1126" t="s">
        <v>73</v>
      </c>
      <c r="B1126" t="s">
        <v>73</v>
      </c>
      <c r="C1126" t="s">
        <v>14</v>
      </c>
      <c r="D1126" t="s">
        <v>25</v>
      </c>
      <c r="E1126" t="s">
        <v>19</v>
      </c>
      <c r="F1126" t="s">
        <v>19</v>
      </c>
      <c r="G1126" t="s">
        <v>19</v>
      </c>
      <c r="H1126" t="s">
        <v>21</v>
      </c>
      <c r="I1126" t="s">
        <v>19</v>
      </c>
      <c r="J1126" t="s">
        <v>74</v>
      </c>
      <c r="K1126" s="21" t="s">
        <v>607</v>
      </c>
      <c r="L1126" s="5" t="s">
        <v>19</v>
      </c>
      <c r="M1126" s="5" t="s">
        <v>19</v>
      </c>
      <c r="N1126" s="5" t="s">
        <v>19</v>
      </c>
      <c r="O1126" s="5" t="s">
        <v>19</v>
      </c>
      <c r="P1126" s="5" t="s">
        <v>19</v>
      </c>
      <c r="Q1126" s="5" t="s">
        <v>19</v>
      </c>
      <c r="R1126" s="5" t="s">
        <v>19</v>
      </c>
      <c r="S1126" s="5" t="s">
        <v>19</v>
      </c>
      <c r="T1126" s="5" t="str">
        <f>HYPERLINK("http://www.lghausys.co.kr/popup/rn/download/downloadPopup.jsp?from=plwindow&amp;uu=/upload/window/REPORT/LGH-DA20-020.pdf","결로발생없음")</f>
        <v>결로발생없음</v>
      </c>
      <c r="U1126" s="5" t="s">
        <v>19</v>
      </c>
      <c r="V1126" s="5" t="s">
        <v>19</v>
      </c>
      <c r="W1126" s="5" t="s">
        <v>75</v>
      </c>
      <c r="X1126"/>
    </row>
    <row r="1127" spans="1:24">
      <c r="A1127" t="s">
        <v>27</v>
      </c>
      <c r="B1127" t="s">
        <v>27</v>
      </c>
      <c r="C1127" t="s">
        <v>24</v>
      </c>
      <c r="D1127" t="s">
        <v>56</v>
      </c>
      <c r="E1127" t="s">
        <v>282</v>
      </c>
      <c r="F1127" t="s">
        <v>19</v>
      </c>
      <c r="G1127" t="s">
        <v>19</v>
      </c>
      <c r="H1127" t="s">
        <v>25</v>
      </c>
      <c r="I1127" t="s">
        <v>19</v>
      </c>
      <c r="J1127" t="s">
        <v>97</v>
      </c>
      <c r="K1127" s="21" t="s">
        <v>607</v>
      </c>
      <c r="L1127" s="5" t="s">
        <v>19</v>
      </c>
      <c r="M1127" s="5" t="s">
        <v>19</v>
      </c>
      <c r="N1127" s="5" t="s">
        <v>19</v>
      </c>
      <c r="O1127" s="5" t="s">
        <v>19</v>
      </c>
      <c r="P1127" s="5" t="s">
        <v>19</v>
      </c>
      <c r="Q1127" s="5" t="s">
        <v>19</v>
      </c>
      <c r="R1127" s="5" t="str">
        <f>HYPERLINK("http://www.lghausys.co.kr/popup/rn/download/downloadPopup.jsp?from=plwindow&amp;uu=/upload/window/REPORT/CT19-140641K.pdf","45")</f>
        <v>45</v>
      </c>
      <c r="S1127" s="5" t="s">
        <v>19</v>
      </c>
      <c r="T1127" s="5" t="s">
        <v>19</v>
      </c>
      <c r="U1127" s="5" t="s">
        <v>19</v>
      </c>
      <c r="V1127" s="5" t="s">
        <v>19</v>
      </c>
      <c r="W1127" s="5" t="s">
        <v>75</v>
      </c>
      <c r="X1127"/>
    </row>
    <row r="1128" spans="1:24">
      <c r="A1128" t="s">
        <v>175</v>
      </c>
      <c r="B1128" t="s">
        <v>175</v>
      </c>
      <c r="C1128" t="s">
        <v>24</v>
      </c>
      <c r="D1128" t="s">
        <v>56</v>
      </c>
      <c r="E1128" t="s">
        <v>19</v>
      </c>
      <c r="F1128" t="s">
        <v>19</v>
      </c>
      <c r="G1128" t="s">
        <v>19</v>
      </c>
      <c r="H1128" t="s">
        <v>25</v>
      </c>
      <c r="I1128" t="s">
        <v>19</v>
      </c>
      <c r="J1128" t="s">
        <v>97</v>
      </c>
      <c r="K1128" s="21" t="s">
        <v>607</v>
      </c>
      <c r="L1128" s="5" t="s">
        <v>19</v>
      </c>
      <c r="M1128" s="5" t="s">
        <v>19</v>
      </c>
      <c r="N1128" s="5" t="s">
        <v>19</v>
      </c>
      <c r="O1128" s="5" t="s">
        <v>19</v>
      </c>
      <c r="P1128" s="5" t="s">
        <v>19</v>
      </c>
      <c r="Q1128" s="5" t="s">
        <v>19</v>
      </c>
      <c r="R1128" s="5" t="str">
        <f>HYPERLINK("http://www.lghausys.co.kr/popup/rn/download/downloadPopup.jsp?from=plwindow&amp;uu=/upload/window/REPORT/CT19-140642K.pdf","42")</f>
        <v>42</v>
      </c>
      <c r="S1128" s="5" t="s">
        <v>19</v>
      </c>
      <c r="T1128" s="5" t="s">
        <v>19</v>
      </c>
      <c r="U1128" s="5" t="s">
        <v>19</v>
      </c>
      <c r="V1128" s="5" t="s">
        <v>19</v>
      </c>
      <c r="W1128" s="5" t="s">
        <v>75</v>
      </c>
      <c r="X1128"/>
    </row>
    <row r="1129" spans="1:24">
      <c r="A1129" t="s">
        <v>52</v>
      </c>
      <c r="B1129" t="s">
        <v>52</v>
      </c>
      <c r="C1129" t="s">
        <v>24</v>
      </c>
      <c r="D1129" t="s">
        <v>56</v>
      </c>
      <c r="E1129" t="s">
        <v>19</v>
      </c>
      <c r="F1129" t="s">
        <v>19</v>
      </c>
      <c r="G1129" t="s">
        <v>19</v>
      </c>
      <c r="H1129" t="s">
        <v>25</v>
      </c>
      <c r="I1129" t="s">
        <v>19</v>
      </c>
      <c r="J1129" t="s">
        <v>97</v>
      </c>
      <c r="K1129" s="21" t="s">
        <v>607</v>
      </c>
      <c r="L1129" s="5" t="s">
        <v>19</v>
      </c>
      <c r="M1129" s="5" t="s">
        <v>19</v>
      </c>
      <c r="N1129" s="5" t="s">
        <v>19</v>
      </c>
      <c r="O1129" s="5" t="s">
        <v>19</v>
      </c>
      <c r="P1129" s="5" t="s">
        <v>19</v>
      </c>
      <c r="Q1129" s="5" t="s">
        <v>19</v>
      </c>
      <c r="R1129" s="5" t="str">
        <f>HYPERLINK("http://www.lghausys.co.kr/popup/rn/download/downloadPopup.jsp?from=plwindow&amp;uu=/upload/window/REPORT/CT19-140644K.pdf","42")</f>
        <v>42</v>
      </c>
      <c r="S1129" s="5" t="s">
        <v>19</v>
      </c>
      <c r="T1129" s="5" t="s">
        <v>19</v>
      </c>
      <c r="U1129" s="5" t="s">
        <v>19</v>
      </c>
      <c r="V1129" s="5" t="s">
        <v>19</v>
      </c>
      <c r="W1129" s="5" t="s">
        <v>75</v>
      </c>
      <c r="X1129"/>
    </row>
    <row r="1130" spans="1:24">
      <c r="A1130" t="s">
        <v>125</v>
      </c>
      <c r="B1130" t="s">
        <v>125</v>
      </c>
      <c r="C1130" t="s">
        <v>24</v>
      </c>
      <c r="D1130" t="s">
        <v>41</v>
      </c>
      <c r="E1130" t="s">
        <v>19</v>
      </c>
      <c r="F1130" t="s">
        <v>19</v>
      </c>
      <c r="G1130" t="s">
        <v>19</v>
      </c>
      <c r="H1130" t="s">
        <v>19</v>
      </c>
      <c r="I1130" t="s">
        <v>19</v>
      </c>
      <c r="J1130" t="s">
        <v>97</v>
      </c>
      <c r="K1130" s="21" t="s">
        <v>607</v>
      </c>
      <c r="L1130" s="5" t="s">
        <v>19</v>
      </c>
      <c r="M1130" s="5" t="s">
        <v>19</v>
      </c>
      <c r="N1130" s="5" t="s">
        <v>19</v>
      </c>
      <c r="O1130" s="5" t="s">
        <v>19</v>
      </c>
      <c r="P1130" s="5" t="s">
        <v>19</v>
      </c>
      <c r="Q1130" s="5" t="s">
        <v>19</v>
      </c>
      <c r="R1130" s="5" t="str">
        <f>HYPERLINK("http://www.lghausys.co.kr/popup/rn/download/downloadPopup.jsp?from=plwindow&amp;uu=/upload/window/REPORT/CT19-140645K.pdf","26")</f>
        <v>26</v>
      </c>
      <c r="S1130" s="5" t="s">
        <v>19</v>
      </c>
      <c r="T1130" s="5" t="s">
        <v>19</v>
      </c>
      <c r="U1130" s="5" t="s">
        <v>19</v>
      </c>
      <c r="V1130" s="5" t="s">
        <v>19</v>
      </c>
      <c r="W1130" s="5" t="s">
        <v>75</v>
      </c>
      <c r="X1130"/>
    </row>
    <row r="1131" spans="1:24">
      <c r="A1131" t="s">
        <v>95</v>
      </c>
      <c r="B1131" t="s">
        <v>95</v>
      </c>
      <c r="C1131" t="s">
        <v>24</v>
      </c>
      <c r="D1131" t="s">
        <v>41</v>
      </c>
      <c r="E1131" t="s">
        <v>19</v>
      </c>
      <c r="F1131" t="s">
        <v>19</v>
      </c>
      <c r="G1131" t="s">
        <v>19</v>
      </c>
      <c r="H1131" t="s">
        <v>19</v>
      </c>
      <c r="I1131" t="s">
        <v>19</v>
      </c>
      <c r="J1131" t="s">
        <v>97</v>
      </c>
      <c r="K1131" s="21" t="s">
        <v>607</v>
      </c>
      <c r="L1131" s="5" t="s">
        <v>19</v>
      </c>
      <c r="M1131" s="5" t="s">
        <v>19</v>
      </c>
      <c r="N1131" s="5" t="s">
        <v>19</v>
      </c>
      <c r="O1131" s="5" t="s">
        <v>19</v>
      </c>
      <c r="P1131" s="5" t="s">
        <v>19</v>
      </c>
      <c r="Q1131" s="5" t="s">
        <v>19</v>
      </c>
      <c r="R1131" s="5" t="str">
        <f>HYPERLINK("http://www.lghausys.co.kr/popup/rn/download/downloadPopup.jsp?from=plwindow&amp;uu=/upload/window/REPORT/CT19-140646K.pdf","29")</f>
        <v>29</v>
      </c>
      <c r="S1131" s="5" t="s">
        <v>19</v>
      </c>
      <c r="T1131" s="5" t="s">
        <v>19</v>
      </c>
      <c r="U1131" s="5" t="s">
        <v>19</v>
      </c>
      <c r="V1131" s="5" t="s">
        <v>19</v>
      </c>
      <c r="W1131" s="5" t="s">
        <v>75</v>
      </c>
      <c r="X1131"/>
    </row>
    <row r="1132" spans="1:24">
      <c r="A1132" t="s">
        <v>222</v>
      </c>
      <c r="B1132" t="s">
        <v>222</v>
      </c>
      <c r="C1132" t="s">
        <v>15</v>
      </c>
      <c r="D1132" t="s">
        <v>25</v>
      </c>
      <c r="E1132" t="s">
        <v>178</v>
      </c>
      <c r="F1132" t="s">
        <v>19</v>
      </c>
      <c r="G1132" t="s">
        <v>19</v>
      </c>
      <c r="H1132" t="s">
        <v>28</v>
      </c>
      <c r="I1132" t="s">
        <v>19</v>
      </c>
      <c r="J1132" t="s">
        <v>74</v>
      </c>
      <c r="K1132" s="21" t="s">
        <v>607</v>
      </c>
      <c r="L1132" s="5" t="s">
        <v>19</v>
      </c>
      <c r="M1132" s="5" t="s">
        <v>19</v>
      </c>
      <c r="N1132" s="5" t="s">
        <v>19</v>
      </c>
      <c r="O1132" s="5" t="s">
        <v>19</v>
      </c>
      <c r="P1132" s="5" t="s">
        <v>19</v>
      </c>
      <c r="Q1132" s="5" t="s">
        <v>19</v>
      </c>
      <c r="R1132" s="5" t="s">
        <v>19</v>
      </c>
      <c r="S1132" s="5" t="s">
        <v>19</v>
      </c>
      <c r="T1132" s="5" t="s">
        <v>19</v>
      </c>
      <c r="U1132" s="5" t="str">
        <f>HYPERLINK("http://www.lghausys.co.kr/popup/rn/download/downloadPopup.jsp?from=plwindow&amp;uu=/upload/window/REPORT/LGH-DA20-021.pdf","결로발생없음")</f>
        <v>결로발생없음</v>
      </c>
      <c r="V1132" s="5" t="s">
        <v>19</v>
      </c>
      <c r="W1132" s="5" t="s">
        <v>75</v>
      </c>
      <c r="X1132"/>
    </row>
    <row r="1133" spans="1:24">
      <c r="A1133" t="s">
        <v>73</v>
      </c>
      <c r="B1133" t="s">
        <v>73</v>
      </c>
      <c r="C1133" t="s">
        <v>31</v>
      </c>
      <c r="D1133" t="s">
        <v>25</v>
      </c>
      <c r="E1133" t="s">
        <v>19</v>
      </c>
      <c r="F1133" t="s">
        <v>19</v>
      </c>
      <c r="G1133" t="s">
        <v>19</v>
      </c>
      <c r="H1133" t="s">
        <v>28</v>
      </c>
      <c r="I1133" t="s">
        <v>19</v>
      </c>
      <c r="J1133" t="s">
        <v>97</v>
      </c>
      <c r="K1133" s="21" t="s">
        <v>607</v>
      </c>
      <c r="L1133" s="5" t="s">
        <v>19</v>
      </c>
      <c r="M1133" s="5" t="s">
        <v>19</v>
      </c>
      <c r="N1133" s="5" t="s">
        <v>19</v>
      </c>
      <c r="O1133" s="5" t="str">
        <f>HYPERLINK("http://www.lghausys.co.kr/popup/rn/download/downloadPopup.jsp?from=plwindow&amp;uu=/upload/window/REPORT/LGH-WA20-109.pdf","1등급")</f>
        <v>1등급</v>
      </c>
      <c r="P1133" s="5" t="s">
        <v>19</v>
      </c>
      <c r="Q1133" s="5" t="s">
        <v>19</v>
      </c>
      <c r="R1133" s="5" t="s">
        <v>19</v>
      </c>
      <c r="S1133" s="5" t="s">
        <v>19</v>
      </c>
      <c r="T1133" s="5" t="s">
        <v>19</v>
      </c>
      <c r="U1133" s="5" t="s">
        <v>19</v>
      </c>
      <c r="V1133" s="5" t="s">
        <v>19</v>
      </c>
      <c r="W1133" s="5" t="s">
        <v>152</v>
      </c>
      <c r="X1133"/>
    </row>
    <row r="1134" spans="1:24">
      <c r="A1134" t="s">
        <v>100</v>
      </c>
      <c r="B1134" t="s">
        <v>100</v>
      </c>
      <c r="C1134" t="s">
        <v>31</v>
      </c>
      <c r="D1134" t="s">
        <v>81</v>
      </c>
      <c r="E1134" t="s">
        <v>19</v>
      </c>
      <c r="F1134" t="s">
        <v>19</v>
      </c>
      <c r="G1134" t="s">
        <v>19</v>
      </c>
      <c r="H1134" t="s">
        <v>41</v>
      </c>
      <c r="I1134" t="s">
        <v>19</v>
      </c>
      <c r="J1134" t="s">
        <v>74</v>
      </c>
      <c r="K1134" s="21" t="s">
        <v>607</v>
      </c>
      <c r="L1134" s="5" t="s">
        <v>19</v>
      </c>
      <c r="M1134" s="5" t="s">
        <v>19</v>
      </c>
      <c r="N1134" s="5" t="s">
        <v>19</v>
      </c>
      <c r="O1134" s="5" t="str">
        <f>HYPERLINK("http://www.lghausys.co.kr/popup/rn/download/downloadPopup.jsp?from=plwindow&amp;uu=/upload/window/REPORT/LGH-WA20-110.pdf","1등급")</f>
        <v>1등급</v>
      </c>
      <c r="P1134" s="5" t="s">
        <v>19</v>
      </c>
      <c r="Q1134" s="5" t="s">
        <v>19</v>
      </c>
      <c r="R1134" s="5" t="s">
        <v>19</v>
      </c>
      <c r="S1134" s="5" t="s">
        <v>19</v>
      </c>
      <c r="T1134" s="5" t="s">
        <v>19</v>
      </c>
      <c r="U1134" s="5" t="s">
        <v>19</v>
      </c>
      <c r="V1134" s="5" t="s">
        <v>19</v>
      </c>
      <c r="W1134" s="5" t="s">
        <v>152</v>
      </c>
      <c r="X1134"/>
    </row>
    <row r="1135" spans="1:24">
      <c r="A1135" t="s">
        <v>73</v>
      </c>
      <c r="B1135" t="s">
        <v>73</v>
      </c>
      <c r="C1135" t="s">
        <v>31</v>
      </c>
      <c r="D1135" t="s">
        <v>25</v>
      </c>
      <c r="E1135" t="s">
        <v>19</v>
      </c>
      <c r="F1135" t="s">
        <v>19</v>
      </c>
      <c r="G1135" t="s">
        <v>19</v>
      </c>
      <c r="H1135" t="s">
        <v>28</v>
      </c>
      <c r="I1135" t="s">
        <v>19</v>
      </c>
      <c r="J1135" t="s">
        <v>74</v>
      </c>
      <c r="K1135" s="21" t="s">
        <v>607</v>
      </c>
      <c r="L1135" s="5" t="s">
        <v>19</v>
      </c>
      <c r="M1135" s="5" t="s">
        <v>19</v>
      </c>
      <c r="N1135" s="5" t="s">
        <v>19</v>
      </c>
      <c r="O1135" s="5" t="str">
        <f>HYPERLINK("http://www.lghausys.co.kr/popup/rn/download/downloadPopup.jsp?from=plwindow&amp;uu=/upload/window/REPORT/LGH-WA20-111.pdf","1등급")</f>
        <v>1등급</v>
      </c>
      <c r="P1135" s="5" t="s">
        <v>19</v>
      </c>
      <c r="Q1135" s="5" t="s">
        <v>19</v>
      </c>
      <c r="R1135" s="5" t="s">
        <v>19</v>
      </c>
      <c r="S1135" s="5" t="s">
        <v>19</v>
      </c>
      <c r="T1135" s="5" t="s">
        <v>19</v>
      </c>
      <c r="U1135" s="5" t="s">
        <v>19</v>
      </c>
      <c r="V1135" s="5" t="s">
        <v>19</v>
      </c>
      <c r="W1135" s="5" t="s">
        <v>152</v>
      </c>
      <c r="X1135"/>
    </row>
    <row r="1136" spans="1:24">
      <c r="A1136" t="s">
        <v>222</v>
      </c>
      <c r="B1136" t="s">
        <v>222</v>
      </c>
      <c r="C1136" t="s">
        <v>31</v>
      </c>
      <c r="D1136" t="s">
        <v>25</v>
      </c>
      <c r="E1136" t="s">
        <v>178</v>
      </c>
      <c r="F1136" t="s">
        <v>19</v>
      </c>
      <c r="G1136" t="s">
        <v>19</v>
      </c>
      <c r="H1136" t="s">
        <v>28</v>
      </c>
      <c r="I1136" t="s">
        <v>19</v>
      </c>
      <c r="J1136" t="s">
        <v>74</v>
      </c>
      <c r="K1136" s="21" t="s">
        <v>607</v>
      </c>
      <c r="L1136" s="5" t="s">
        <v>19</v>
      </c>
      <c r="M1136" s="5" t="s">
        <v>19</v>
      </c>
      <c r="N1136" s="5" t="s">
        <v>19</v>
      </c>
      <c r="O1136" s="5" t="str">
        <f>HYPERLINK("http://www.lghausys.co.kr/popup/rn/download/downloadPopup.jsp?from=plwindow&amp;uu=/upload/window/REPORT/LGH-WA20-112.pdf","1등급")</f>
        <v>1등급</v>
      </c>
      <c r="P1136" s="5" t="s">
        <v>19</v>
      </c>
      <c r="Q1136" s="5" t="s">
        <v>19</v>
      </c>
      <c r="R1136" s="5" t="s">
        <v>19</v>
      </c>
      <c r="S1136" s="5" t="s">
        <v>19</v>
      </c>
      <c r="T1136" s="5" t="s">
        <v>19</v>
      </c>
      <c r="U1136" s="5" t="s">
        <v>19</v>
      </c>
      <c r="V1136" s="5" t="s">
        <v>19</v>
      </c>
      <c r="W1136" s="5" t="s">
        <v>152</v>
      </c>
      <c r="X1136"/>
    </row>
    <row r="1137" spans="1:24">
      <c r="A1137" t="s">
        <v>197</v>
      </c>
      <c r="B1137" t="s">
        <v>197</v>
      </c>
      <c r="C1137" t="s">
        <v>34</v>
      </c>
      <c r="D1137" t="s">
        <v>283</v>
      </c>
      <c r="E1137" t="s">
        <v>19</v>
      </c>
      <c r="F1137" t="s">
        <v>19</v>
      </c>
      <c r="G1137" t="s">
        <v>19</v>
      </c>
      <c r="H1137" t="s">
        <v>19</v>
      </c>
      <c r="I1137" t="s">
        <v>19</v>
      </c>
      <c r="J1137" t="s">
        <v>74</v>
      </c>
      <c r="K1137" s="21" t="s">
        <v>607</v>
      </c>
      <c r="L1137" s="5" t="s">
        <v>19</v>
      </c>
      <c r="M1137" s="5" t="s">
        <v>19</v>
      </c>
      <c r="N1137" s="5" t="str">
        <f>HYPERLINK("http://www.lghausys.co.kr/popup/rn/download/downloadPopup.jsp?from=plwindow&amp;uu=/upload/window/REPORT/LGH-TA20-112.pdf","1.353")</f>
        <v>1.353</v>
      </c>
      <c r="O1137" s="5" t="s">
        <v>19</v>
      </c>
      <c r="P1137" s="5" t="s">
        <v>19</v>
      </c>
      <c r="Q1137" s="5" t="s">
        <v>19</v>
      </c>
      <c r="R1137" s="5" t="s">
        <v>19</v>
      </c>
      <c r="S1137" s="5" t="s">
        <v>19</v>
      </c>
      <c r="T1137" s="5" t="s">
        <v>19</v>
      </c>
      <c r="U1137" s="5" t="s">
        <v>19</v>
      </c>
      <c r="V1137" s="5" t="s">
        <v>19</v>
      </c>
      <c r="W1137" s="5" t="s">
        <v>75</v>
      </c>
      <c r="X1137"/>
    </row>
    <row r="1138" spans="1:24">
      <c r="A1138" t="s">
        <v>43</v>
      </c>
      <c r="B1138" t="s">
        <v>43</v>
      </c>
      <c r="C1138" t="s">
        <v>34</v>
      </c>
      <c r="D1138" t="s">
        <v>284</v>
      </c>
      <c r="E1138" t="s">
        <v>19</v>
      </c>
      <c r="F1138" t="s">
        <v>19</v>
      </c>
      <c r="G1138" t="s">
        <v>19</v>
      </c>
      <c r="H1138" t="s">
        <v>19</v>
      </c>
      <c r="I1138" t="s">
        <v>19</v>
      </c>
      <c r="J1138" t="s">
        <v>167</v>
      </c>
      <c r="K1138" s="21" t="s">
        <v>607</v>
      </c>
      <c r="L1138" s="5" t="s">
        <v>19</v>
      </c>
      <c r="M1138" s="5" t="s">
        <v>19</v>
      </c>
      <c r="N1138" s="5" t="str">
        <f>HYPERLINK("http://www.lghausys.co.kr/popup/rn/download/downloadPopup.jsp?from=plwindow&amp;uu=/upload/window/REPORT/LGH-TA20-113.pdf","1.934")</f>
        <v>1.934</v>
      </c>
      <c r="O1138" s="5" t="s">
        <v>19</v>
      </c>
      <c r="P1138" s="5" t="s">
        <v>19</v>
      </c>
      <c r="Q1138" s="5" t="s">
        <v>19</v>
      </c>
      <c r="R1138" s="5" t="s">
        <v>19</v>
      </c>
      <c r="S1138" s="5" t="s">
        <v>19</v>
      </c>
      <c r="T1138" s="5" t="s">
        <v>19</v>
      </c>
      <c r="U1138" s="5" t="s">
        <v>19</v>
      </c>
      <c r="V1138" s="5" t="s">
        <v>19</v>
      </c>
      <c r="W1138" s="5" t="s">
        <v>75</v>
      </c>
      <c r="X1138"/>
    </row>
    <row r="1139" spans="1:24">
      <c r="A1139" t="s">
        <v>43</v>
      </c>
      <c r="B1139" t="s">
        <v>43</v>
      </c>
      <c r="C1139" t="s">
        <v>34</v>
      </c>
      <c r="D1139" t="s">
        <v>279</v>
      </c>
      <c r="E1139" t="s">
        <v>19</v>
      </c>
      <c r="F1139" t="s">
        <v>19</v>
      </c>
      <c r="G1139" t="s">
        <v>19</v>
      </c>
      <c r="H1139" t="s">
        <v>19</v>
      </c>
      <c r="I1139" t="s">
        <v>19</v>
      </c>
      <c r="J1139" t="s">
        <v>280</v>
      </c>
      <c r="K1139" s="21" t="s">
        <v>607</v>
      </c>
      <c r="L1139" s="5" t="s">
        <v>19</v>
      </c>
      <c r="M1139" s="5" t="s">
        <v>19</v>
      </c>
      <c r="N1139" s="5" t="str">
        <f>HYPERLINK("http://www.lghausys.co.kr/popup/rn/download/downloadPopup.jsp?from=plwindow&amp;uu=/upload/window/REPORT/LGH-TA20-115.pdf","1.934")</f>
        <v>1.934</v>
      </c>
      <c r="O1139" s="5" t="s">
        <v>19</v>
      </c>
      <c r="P1139" s="5" t="s">
        <v>19</v>
      </c>
      <c r="Q1139" s="5" t="s">
        <v>19</v>
      </c>
      <c r="R1139" s="5" t="s">
        <v>19</v>
      </c>
      <c r="S1139" s="5" t="s">
        <v>19</v>
      </c>
      <c r="T1139" s="5" t="s">
        <v>19</v>
      </c>
      <c r="U1139" s="5" t="s">
        <v>19</v>
      </c>
      <c r="V1139" s="5" t="s">
        <v>19</v>
      </c>
      <c r="W1139" s="5" t="s">
        <v>75</v>
      </c>
      <c r="X1139"/>
    </row>
    <row r="1140" spans="1:24">
      <c r="A1140" t="s">
        <v>73</v>
      </c>
      <c r="B1140" t="s">
        <v>73</v>
      </c>
      <c r="C1140" t="s">
        <v>34</v>
      </c>
      <c r="D1140" t="s">
        <v>270</v>
      </c>
      <c r="E1140" t="s">
        <v>19</v>
      </c>
      <c r="F1140" t="s">
        <v>19</v>
      </c>
      <c r="G1140" t="s">
        <v>19</v>
      </c>
      <c r="H1140" t="s">
        <v>165</v>
      </c>
      <c r="I1140" t="s">
        <v>19</v>
      </c>
      <c r="J1140" t="s">
        <v>99</v>
      </c>
      <c r="K1140" s="21" t="s">
        <v>607</v>
      </c>
      <c r="L1140" s="5" t="s">
        <v>19</v>
      </c>
      <c r="M1140" s="5" t="s">
        <v>19</v>
      </c>
      <c r="N1140" s="5" t="str">
        <f>HYPERLINK("http://www.lghausys.co.kr/popup/rn/download/downloadPopup.jsp?from=plwindow&amp;uu=/upload/window/REPORT/LGH-TA20-120.pdf","0.888")</f>
        <v>0.888</v>
      </c>
      <c r="O1140" s="5" t="s">
        <v>19</v>
      </c>
      <c r="P1140" s="5" t="s">
        <v>19</v>
      </c>
      <c r="Q1140" s="5" t="s">
        <v>19</v>
      </c>
      <c r="R1140" s="5" t="s">
        <v>19</v>
      </c>
      <c r="S1140" s="5" t="s">
        <v>19</v>
      </c>
      <c r="T1140" s="5" t="s">
        <v>19</v>
      </c>
      <c r="U1140" s="5" t="s">
        <v>19</v>
      </c>
      <c r="V1140" s="5" t="s">
        <v>19</v>
      </c>
      <c r="W1140" s="5" t="s">
        <v>75</v>
      </c>
      <c r="X1140"/>
    </row>
    <row r="1141" spans="1:24">
      <c r="A1141" t="s">
        <v>73</v>
      </c>
      <c r="B1141" t="s">
        <v>73</v>
      </c>
      <c r="C1141" t="s">
        <v>15</v>
      </c>
      <c r="D1141" t="s">
        <v>25</v>
      </c>
      <c r="E1141" t="s">
        <v>19</v>
      </c>
      <c r="F1141" t="s">
        <v>19</v>
      </c>
      <c r="G1141" t="s">
        <v>19</v>
      </c>
      <c r="H1141" t="s">
        <v>28</v>
      </c>
      <c r="I1141" t="s">
        <v>19</v>
      </c>
      <c r="J1141" t="s">
        <v>97</v>
      </c>
      <c r="K1141" s="21" t="s">
        <v>607</v>
      </c>
      <c r="L1141" s="5" t="s">
        <v>19</v>
      </c>
      <c r="M1141" s="5" t="s">
        <v>19</v>
      </c>
      <c r="N1141" s="5" t="s">
        <v>19</v>
      </c>
      <c r="O1141" s="5" t="s">
        <v>19</v>
      </c>
      <c r="P1141" s="5" t="s">
        <v>19</v>
      </c>
      <c r="Q1141" s="5" t="s">
        <v>19</v>
      </c>
      <c r="R1141" s="5" t="s">
        <v>19</v>
      </c>
      <c r="S1141" s="5" t="s">
        <v>19</v>
      </c>
      <c r="T1141" s="5" t="s">
        <v>19</v>
      </c>
      <c r="U1141" s="5" t="str">
        <f>HYPERLINK("http://www.lghausys.co.kr/popup/rn/download/downloadPopup.jsp?from=plwindow&amp;uu=/upload/window/REPORT/LGH-DA20-022.pdf","결로발생없음")</f>
        <v>결로발생없음</v>
      </c>
      <c r="V1141" s="5" t="s">
        <v>19</v>
      </c>
      <c r="W1141" s="5" t="s">
        <v>75</v>
      </c>
      <c r="X1141"/>
    </row>
    <row r="1142" spans="1:24">
      <c r="A1142" t="s">
        <v>43</v>
      </c>
      <c r="B1142" t="s">
        <v>43</v>
      </c>
      <c r="C1142" t="s">
        <v>31</v>
      </c>
      <c r="D1142" t="s">
        <v>126</v>
      </c>
      <c r="E1142" t="s">
        <v>19</v>
      </c>
      <c r="F1142" t="s">
        <v>19</v>
      </c>
      <c r="G1142" t="s">
        <v>19</v>
      </c>
      <c r="H1142" t="s">
        <v>19</v>
      </c>
      <c r="I1142" t="s">
        <v>19</v>
      </c>
      <c r="J1142" t="s">
        <v>74</v>
      </c>
      <c r="K1142" s="21" t="s">
        <v>607</v>
      </c>
      <c r="L1142" s="5" t="s">
        <v>19</v>
      </c>
      <c r="M1142" s="5" t="s">
        <v>19</v>
      </c>
      <c r="N1142" s="5" t="s">
        <v>19</v>
      </c>
      <c r="O1142" s="5" t="str">
        <f>HYPERLINK("http://www.lghausys.co.kr/popup/rn/download/downloadPopup.jsp?from=plwindow&amp;uu=/upload/window/REPORT/KICT-R-K-2019-01089-1.pdf","1등급")</f>
        <v>1등급</v>
      </c>
      <c r="P1142" s="5" t="s">
        <v>19</v>
      </c>
      <c r="Q1142" s="5" t="s">
        <v>19</v>
      </c>
      <c r="R1142" s="5" t="s">
        <v>19</v>
      </c>
      <c r="S1142" s="5" t="s">
        <v>19</v>
      </c>
      <c r="T1142" s="5" t="s">
        <v>19</v>
      </c>
      <c r="U1142" s="5" t="s">
        <v>19</v>
      </c>
      <c r="V1142" s="5" t="s">
        <v>19</v>
      </c>
      <c r="W1142" s="5" t="s">
        <v>19</v>
      </c>
      <c r="X1142"/>
    </row>
    <row r="1143" spans="1:24">
      <c r="A1143" t="s">
        <v>43</v>
      </c>
      <c r="B1143" t="s">
        <v>43</v>
      </c>
      <c r="C1143" t="s">
        <v>34</v>
      </c>
      <c r="D1143" t="s">
        <v>126</v>
      </c>
      <c r="E1143" t="s">
        <v>19</v>
      </c>
      <c r="F1143" t="s">
        <v>19</v>
      </c>
      <c r="G1143" t="s">
        <v>19</v>
      </c>
      <c r="H1143" t="s">
        <v>19</v>
      </c>
      <c r="I1143" t="s">
        <v>19</v>
      </c>
      <c r="J1143" t="s">
        <v>74</v>
      </c>
      <c r="K1143" s="21" t="s">
        <v>607</v>
      </c>
      <c r="L1143" s="5" t="s">
        <v>19</v>
      </c>
      <c r="M1143" s="5" t="s">
        <v>19</v>
      </c>
      <c r="N1143" s="5" t="str">
        <f>HYPERLINK("http://www.lghausys.co.kr/popup/rn/download/downloadPopup.jsp?from=plwindow&amp;uu=/upload/window/REPORT/KICT-R-K-2019-01090-1.pdf","1.443")</f>
        <v>1.443</v>
      </c>
      <c r="O1143" s="5" t="s">
        <v>19</v>
      </c>
      <c r="P1143" s="5" t="s">
        <v>19</v>
      </c>
      <c r="Q1143" s="5" t="s">
        <v>19</v>
      </c>
      <c r="R1143" s="5" t="s">
        <v>19</v>
      </c>
      <c r="S1143" s="5" t="s">
        <v>19</v>
      </c>
      <c r="T1143" s="5" t="s">
        <v>19</v>
      </c>
      <c r="U1143" s="5" t="s">
        <v>19</v>
      </c>
      <c r="V1143" s="5" t="s">
        <v>19</v>
      </c>
      <c r="W1143" s="5" t="s">
        <v>19</v>
      </c>
      <c r="X1143"/>
    </row>
    <row r="1144" spans="1:24">
      <c r="A1144" t="s">
        <v>445</v>
      </c>
      <c r="B1144" t="s">
        <v>445</v>
      </c>
      <c r="C1144" t="s">
        <v>20</v>
      </c>
      <c r="D1144" t="s">
        <v>273</v>
      </c>
      <c r="E1144" t="s">
        <v>19</v>
      </c>
      <c r="F1144" t="s">
        <v>19</v>
      </c>
      <c r="G1144" t="s">
        <v>19</v>
      </c>
      <c r="H1144" t="s">
        <v>19</v>
      </c>
      <c r="I1144" t="s">
        <v>19</v>
      </c>
      <c r="J1144" t="s">
        <v>184</v>
      </c>
      <c r="K1144" s="21" t="str">
        <f>IF(X1144&lt;=0.9,HYPERLINK("http://www.lxhausys.co.kr/popup/rn/download/downloadPopup.jsp?from=plwindow&amp;uu=/upload/window/REPORT/LGH-TW20-026.pdf","1등급"),IF(X1144&lt;=1.2,HYPERLINK("http://www.lxhausys.co.kr/popup/rn/download/downloadPopup.jsp?from=plwindow&amp;uu=/upload/window/REPORT/LGH-TW20-026.pdf","2등급"),IF(X1144&lt;=1.8,HYPERLINK("http://www.lxhausys.co.kr/popup/rn/download/downloadPopup.jsp?from=plwindow&amp;uu=/upload/window/REPORT/LGH-TW20-026.pdf","3등급"),IF(X1144&lt;=2.3,HYPERLINK("http://www.lxhausys.co.kr/popup/rn/download/downloadPopup.jsp?from=plwindow&amp;uu=/upload/window/REPORT/LGH-TW20-026.pdf","4등급"),IF(X1144&lt;=2.8,HYPERLINK("http://www.lxhausys.co.kr/popup/rn/download/downloadPopup.jsp?from=plwindow&amp;uu=/upload/window/REPORT/LGH-TW20-026.pdf","5등급"),HYPERLINK("http://www.lxhausys.co.kr/popup/rn/download/downloadPopup.jsp?from=plwindow&amp;uu=/upload/window/REPORT/LGH-TW20-026.pdf","등급외"))))))</f>
        <v>1등급</v>
      </c>
      <c r="L1144" s="5">
        <v>0.73499999999999999</v>
      </c>
      <c r="M1144" s="5" t="s">
        <v>22</v>
      </c>
      <c r="N1144" s="5" t="s">
        <v>607</v>
      </c>
      <c r="O1144" s="5" t="s">
        <v>19</v>
      </c>
      <c r="P1144" s="5" t="s">
        <v>19</v>
      </c>
      <c r="Q1144" s="5" t="s">
        <v>19</v>
      </c>
      <c r="R1144" s="5" t="s">
        <v>19</v>
      </c>
      <c r="S1144" s="5" t="s">
        <v>19</v>
      </c>
      <c r="T1144" s="5" t="s">
        <v>19</v>
      </c>
      <c r="U1144" s="5" t="s">
        <v>19</v>
      </c>
      <c r="V1144" s="5" t="s">
        <v>19</v>
      </c>
      <c r="W1144" s="5" t="s">
        <v>19</v>
      </c>
      <c r="X1144" s="19">
        <f>L1144</f>
        <v>0.73499999999999999</v>
      </c>
    </row>
    <row r="1145" spans="1:24">
      <c r="A1145" t="s">
        <v>446</v>
      </c>
      <c r="B1145" t="s">
        <v>446</v>
      </c>
      <c r="C1145" t="s">
        <v>20</v>
      </c>
      <c r="D1145" t="s">
        <v>285</v>
      </c>
      <c r="E1145" t="s">
        <v>19</v>
      </c>
      <c r="F1145" t="s">
        <v>19</v>
      </c>
      <c r="G1145" t="s">
        <v>19</v>
      </c>
      <c r="H1145" t="s">
        <v>19</v>
      </c>
      <c r="I1145" t="s">
        <v>19</v>
      </c>
      <c r="J1145" t="s">
        <v>286</v>
      </c>
      <c r="K1145" s="21" t="str">
        <f>IF(X1145&lt;=0.9,HYPERLINK("http://www.lxhausys.co.kr/popup/rn/download/downloadPopup.jsp?from=plwindow&amp;uu=/upload/window/REPORT/LGH-TW20-027.pdf","1등급"),IF(X1145&lt;=1.2,HYPERLINK("http://www.lxhausys.co.kr/popup/rn/download/downloadPopup.jsp?from=plwindow&amp;uu=/upload/window/REPORT/LGH-TW20-027.pdf","2등급"),IF(X1145&lt;=1.8,HYPERLINK("http://www.lxhausys.co.kr/popup/rn/download/downloadPopup.jsp?from=plwindow&amp;uu=/upload/window/REPORT/LGH-TW20-027.pdf","3등급"),IF(X1145&lt;=2.3,HYPERLINK("http://www.lxhausys.co.kr/popup/rn/download/downloadPopup.jsp?from=plwindow&amp;uu=/upload/window/REPORT/LGH-TW20-027.pdf","4등급"),IF(X1145&lt;=2.8,HYPERLINK("http://www.lxhausys.co.kr/popup/rn/download/downloadPopup.jsp?from=plwindow&amp;uu=/upload/window/REPORT/LGH-TW20-027.pdf","5등급"),HYPERLINK("http://www.lxhausys.co.kr/popup/rn/download/downloadPopup.jsp?from=plwindow&amp;uu=/upload/window/REPORT/LGH-TW20-027.pdf","등급외"))))))</f>
        <v>1등급</v>
      </c>
      <c r="L1145" s="5">
        <v>0.78900000000000003</v>
      </c>
      <c r="M1145" s="5" t="s">
        <v>22</v>
      </c>
      <c r="N1145" s="5" t="s">
        <v>607</v>
      </c>
      <c r="O1145" s="5" t="s">
        <v>19</v>
      </c>
      <c r="P1145" s="5" t="s">
        <v>19</v>
      </c>
      <c r="Q1145" s="5" t="s">
        <v>19</v>
      </c>
      <c r="R1145" s="5" t="s">
        <v>19</v>
      </c>
      <c r="S1145" s="5" t="s">
        <v>19</v>
      </c>
      <c r="T1145" s="5" t="s">
        <v>19</v>
      </c>
      <c r="U1145" s="5" t="s">
        <v>19</v>
      </c>
      <c r="V1145" s="5" t="s">
        <v>19</v>
      </c>
      <c r="W1145" s="5" t="s">
        <v>19</v>
      </c>
      <c r="X1145" s="19">
        <f>L1145</f>
        <v>0.78900000000000003</v>
      </c>
    </row>
    <row r="1146" spans="1:24">
      <c r="A1146" t="s">
        <v>446</v>
      </c>
      <c r="B1146" t="s">
        <v>446</v>
      </c>
      <c r="C1146" t="s">
        <v>20</v>
      </c>
      <c r="D1146" t="s">
        <v>287</v>
      </c>
      <c r="E1146" t="s">
        <v>19</v>
      </c>
      <c r="F1146" t="s">
        <v>19</v>
      </c>
      <c r="G1146" t="s">
        <v>19</v>
      </c>
      <c r="H1146" t="s">
        <v>19</v>
      </c>
      <c r="I1146" t="s">
        <v>19</v>
      </c>
      <c r="J1146" t="s">
        <v>184</v>
      </c>
      <c r="K1146" s="21" t="str">
        <f>IF(X1146&lt;=0.9,HYPERLINK("http://www.lxhausys.co.kr/popup/rn/download/downloadPopup.jsp?from=plwindow&amp;uu=/upload/window/REPORT/LGH-TW20-028.pdf","1등급"),IF(X1146&lt;=1.2,HYPERLINK("http://www.lxhausys.co.kr/popup/rn/download/downloadPopup.jsp?from=plwindow&amp;uu=/upload/window/REPORT/LGH-TW20-028.pdf","2등급"),IF(X1146&lt;=1.8,HYPERLINK("http://www.lxhausys.co.kr/popup/rn/download/downloadPopup.jsp?from=plwindow&amp;uu=/upload/window/REPORT/LGH-TW20-028.pdf","3등급"),IF(X1146&lt;=2.3,HYPERLINK("http://www.lxhausys.co.kr/popup/rn/download/downloadPopup.jsp?from=plwindow&amp;uu=/upload/window/REPORT/LGH-TW20-028.pdf","4등급"),IF(X1146&lt;=2.8,HYPERLINK("http://www.lxhausys.co.kr/popup/rn/download/downloadPopup.jsp?from=plwindow&amp;uu=/upload/window/REPORT/LGH-TW20-028.pdf","5등급"),HYPERLINK("http://www.lxhausys.co.kr/popup/rn/download/downloadPopup.jsp?from=plwindow&amp;uu=/upload/window/REPORT/LGH-TW20-028.pdf","등급외"))))))</f>
        <v>1등급</v>
      </c>
      <c r="L1146" s="5">
        <v>0.73199999999999998</v>
      </c>
      <c r="M1146" s="5" t="s">
        <v>22</v>
      </c>
      <c r="N1146" s="5" t="s">
        <v>607</v>
      </c>
      <c r="O1146" s="5" t="s">
        <v>19</v>
      </c>
      <c r="P1146" s="5" t="s">
        <v>19</v>
      </c>
      <c r="Q1146" s="5" t="s">
        <v>19</v>
      </c>
      <c r="R1146" s="5" t="s">
        <v>19</v>
      </c>
      <c r="S1146" s="5" t="s">
        <v>19</v>
      </c>
      <c r="T1146" s="5" t="s">
        <v>19</v>
      </c>
      <c r="U1146" s="5" t="s">
        <v>19</v>
      </c>
      <c r="V1146" s="5" t="s">
        <v>19</v>
      </c>
      <c r="W1146" s="5" t="s">
        <v>19</v>
      </c>
      <c r="X1146" s="19">
        <f>L1146</f>
        <v>0.73199999999999998</v>
      </c>
    </row>
    <row r="1147" spans="1:24">
      <c r="A1147" t="s">
        <v>447</v>
      </c>
      <c r="B1147" t="s">
        <v>447</v>
      </c>
      <c r="C1147" t="s">
        <v>20</v>
      </c>
      <c r="D1147" t="s">
        <v>285</v>
      </c>
      <c r="E1147" t="s">
        <v>19</v>
      </c>
      <c r="F1147" t="s">
        <v>19</v>
      </c>
      <c r="G1147" t="s">
        <v>19</v>
      </c>
      <c r="H1147" t="s">
        <v>19</v>
      </c>
      <c r="I1147" t="s">
        <v>19</v>
      </c>
      <c r="J1147" t="s">
        <v>286</v>
      </c>
      <c r="K1147" s="21" t="str">
        <f>IF(X1147&lt;=0.9,HYPERLINK("http://www.lxhausys.co.kr/popup/rn/download/downloadPopup.jsp?from=plwindow&amp;uu=/upload/window/REPORT/LGH-TW20-029.pdf","1등급"),IF(X1147&lt;=1.2,HYPERLINK("http://www.lxhausys.co.kr/popup/rn/download/downloadPopup.jsp?from=plwindow&amp;uu=/upload/window/REPORT/LGH-TW20-029.pdf","2등급"),IF(X1147&lt;=1.8,HYPERLINK("http://www.lxhausys.co.kr/popup/rn/download/downloadPopup.jsp?from=plwindow&amp;uu=/upload/window/REPORT/LGH-TW20-029.pdf","3등급"),IF(X1147&lt;=2.3,HYPERLINK("http://www.lxhausys.co.kr/popup/rn/download/downloadPopup.jsp?from=plwindow&amp;uu=/upload/window/REPORT/LGH-TW20-029.pdf","4등급"),IF(X1147&lt;=2.8,HYPERLINK("http://www.lxhausys.co.kr/popup/rn/download/downloadPopup.jsp?from=plwindow&amp;uu=/upload/window/REPORT/LGH-TW20-029.pdf","5등급"),HYPERLINK("http://www.lxhausys.co.kr/popup/rn/download/downloadPopup.jsp?from=plwindow&amp;uu=/upload/window/REPORT/LGH-TW20-029.pdf","등급외"))))))</f>
        <v>1등급</v>
      </c>
      <c r="L1147" s="5">
        <v>0.78200000000000003</v>
      </c>
      <c r="M1147" s="5" t="s">
        <v>22</v>
      </c>
      <c r="N1147" s="5" t="s">
        <v>607</v>
      </c>
      <c r="O1147" s="5" t="s">
        <v>19</v>
      </c>
      <c r="P1147" s="5" t="s">
        <v>19</v>
      </c>
      <c r="Q1147" s="5" t="s">
        <v>19</v>
      </c>
      <c r="R1147" s="5" t="s">
        <v>19</v>
      </c>
      <c r="S1147" s="5" t="s">
        <v>19</v>
      </c>
      <c r="T1147" s="5" t="s">
        <v>19</v>
      </c>
      <c r="U1147" s="5" t="s">
        <v>19</v>
      </c>
      <c r="V1147" s="5" t="s">
        <v>19</v>
      </c>
      <c r="W1147" s="5" t="s">
        <v>19</v>
      </c>
      <c r="X1147" s="19">
        <f>L1147</f>
        <v>0.78200000000000003</v>
      </c>
    </row>
    <row r="1148" spans="1:24">
      <c r="A1148" t="s">
        <v>139</v>
      </c>
      <c r="B1148" t="s">
        <v>139</v>
      </c>
      <c r="C1148" t="s">
        <v>34</v>
      </c>
      <c r="D1148" t="s">
        <v>228</v>
      </c>
      <c r="E1148" t="s">
        <v>19</v>
      </c>
      <c r="F1148" t="s">
        <v>28</v>
      </c>
      <c r="G1148" t="s">
        <v>182</v>
      </c>
      <c r="H1148" t="s">
        <v>28</v>
      </c>
      <c r="I1148" t="s">
        <v>19</v>
      </c>
      <c r="J1148" t="s">
        <v>74</v>
      </c>
      <c r="K1148" s="21" t="s">
        <v>607</v>
      </c>
      <c r="L1148" s="5" t="s">
        <v>19</v>
      </c>
      <c r="M1148" s="5" t="s">
        <v>19</v>
      </c>
      <c r="N1148" s="5" t="str">
        <f>HYPERLINK("http://www.lghausys.co.kr/popup/rn/download/downloadPopup.jsp?from=plwindow&amp;uu=/upload/window/REPORT/LGH-TA20-126.pdf","0.902")</f>
        <v>0.902</v>
      </c>
      <c r="O1148" s="5" t="s">
        <v>19</v>
      </c>
      <c r="P1148" s="5" t="s">
        <v>19</v>
      </c>
      <c r="Q1148" s="5" t="s">
        <v>19</v>
      </c>
      <c r="R1148" s="5" t="s">
        <v>19</v>
      </c>
      <c r="S1148" s="5" t="s">
        <v>19</v>
      </c>
      <c r="T1148" s="5" t="s">
        <v>19</v>
      </c>
      <c r="U1148" s="5" t="s">
        <v>19</v>
      </c>
      <c r="V1148" s="5" t="s">
        <v>19</v>
      </c>
      <c r="W1148" s="5" t="s">
        <v>75</v>
      </c>
      <c r="X1148"/>
    </row>
    <row r="1149" spans="1:24">
      <c r="A1149" t="s">
        <v>100</v>
      </c>
      <c r="B1149" t="s">
        <v>100</v>
      </c>
      <c r="C1149" t="s">
        <v>263</v>
      </c>
      <c r="D1149" t="s">
        <v>19</v>
      </c>
      <c r="E1149" t="s">
        <v>19</v>
      </c>
      <c r="F1149" t="s">
        <v>19</v>
      </c>
      <c r="G1149" t="s">
        <v>19</v>
      </c>
      <c r="H1149" t="s">
        <v>19</v>
      </c>
      <c r="I1149" t="s">
        <v>19</v>
      </c>
      <c r="J1149" t="s">
        <v>19</v>
      </c>
      <c r="K1149" s="21" t="s">
        <v>607</v>
      </c>
      <c r="L1149" s="5" t="s">
        <v>19</v>
      </c>
      <c r="M1149" s="5" t="s">
        <v>19</v>
      </c>
      <c r="N1149" s="5" t="s">
        <v>19</v>
      </c>
      <c r="O1149" s="5" t="s">
        <v>19</v>
      </c>
      <c r="P1149" s="5" t="s">
        <v>19</v>
      </c>
      <c r="Q1149" s="5" t="s">
        <v>19</v>
      </c>
      <c r="R1149" s="5" t="s">
        <v>19</v>
      </c>
      <c r="S1149" s="5" t="s">
        <v>19</v>
      </c>
      <c r="T1149" s="5" t="s">
        <v>19</v>
      </c>
      <c r="U1149" s="5" t="s">
        <v>19</v>
      </c>
      <c r="V1149" s="5" t="str">
        <f>HYPERLINK("http://www.lghausys.co.kr/popup/rn/download/downloadPopup.jsp?from=plwindow&amp;uu=/upload/window/REPORT/CT20-045141K.pdf","PASS")</f>
        <v>PASS</v>
      </c>
      <c r="W1149" s="5" t="s">
        <v>19</v>
      </c>
      <c r="X1149"/>
    </row>
    <row r="1150" spans="1:24">
      <c r="A1150" t="s">
        <v>144</v>
      </c>
      <c r="B1150" t="s">
        <v>144</v>
      </c>
      <c r="C1150" t="s">
        <v>263</v>
      </c>
      <c r="D1150" t="s">
        <v>19</v>
      </c>
      <c r="E1150" t="s">
        <v>19</v>
      </c>
      <c r="F1150" t="s">
        <v>19</v>
      </c>
      <c r="G1150" t="s">
        <v>19</v>
      </c>
      <c r="H1150" t="s">
        <v>19</v>
      </c>
      <c r="I1150" t="s">
        <v>19</v>
      </c>
      <c r="J1150" t="s">
        <v>19</v>
      </c>
      <c r="K1150" s="21" t="s">
        <v>607</v>
      </c>
      <c r="L1150" s="5" t="s">
        <v>19</v>
      </c>
      <c r="M1150" s="5" t="s">
        <v>19</v>
      </c>
      <c r="N1150" s="5" t="s">
        <v>19</v>
      </c>
      <c r="O1150" s="5" t="s">
        <v>19</v>
      </c>
      <c r="P1150" s="5" t="s">
        <v>19</v>
      </c>
      <c r="Q1150" s="5" t="s">
        <v>19</v>
      </c>
      <c r="R1150" s="5" t="s">
        <v>19</v>
      </c>
      <c r="S1150" s="5" t="s">
        <v>19</v>
      </c>
      <c r="T1150" s="5" t="s">
        <v>19</v>
      </c>
      <c r="U1150" s="5" t="s">
        <v>19</v>
      </c>
      <c r="V1150" s="5" t="str">
        <f>HYPERLINK("http://www.lghausys.co.kr/popup/rn/download/downloadPopup.jsp?from=plwindow&amp;uu=/upload/window/REPORT/CT20-045142K.pdf","PASS")</f>
        <v>PASS</v>
      </c>
      <c r="W1150" s="5" t="s">
        <v>19</v>
      </c>
      <c r="X1150"/>
    </row>
    <row r="1151" spans="1:24">
      <c r="A1151" t="s">
        <v>222</v>
      </c>
      <c r="B1151" t="s">
        <v>222</v>
      </c>
      <c r="C1151" t="s">
        <v>263</v>
      </c>
      <c r="D1151" t="s">
        <v>19</v>
      </c>
      <c r="E1151" t="s">
        <v>19</v>
      </c>
      <c r="F1151" t="s">
        <v>19</v>
      </c>
      <c r="G1151" t="s">
        <v>19</v>
      </c>
      <c r="H1151" t="s">
        <v>19</v>
      </c>
      <c r="I1151" t="s">
        <v>19</v>
      </c>
      <c r="J1151" t="s">
        <v>19</v>
      </c>
      <c r="K1151" s="21" t="s">
        <v>607</v>
      </c>
      <c r="L1151" s="5" t="s">
        <v>19</v>
      </c>
      <c r="M1151" s="5" t="s">
        <v>19</v>
      </c>
      <c r="N1151" s="5" t="s">
        <v>19</v>
      </c>
      <c r="O1151" s="5" t="s">
        <v>19</v>
      </c>
      <c r="P1151" s="5" t="s">
        <v>19</v>
      </c>
      <c r="Q1151" s="5" t="s">
        <v>19</v>
      </c>
      <c r="R1151" s="5" t="s">
        <v>19</v>
      </c>
      <c r="S1151" s="5" t="s">
        <v>19</v>
      </c>
      <c r="T1151" s="5" t="s">
        <v>19</v>
      </c>
      <c r="U1151" s="5" t="s">
        <v>19</v>
      </c>
      <c r="V1151" s="5" t="str">
        <f>HYPERLINK("http://www.lghausys.co.kr/popup/rn/download/downloadPopup.jsp?from=plwindow&amp;uu=/upload/window/REPORT/CT20-045145K.pdf","PASS")</f>
        <v>PASS</v>
      </c>
      <c r="W1151" s="5" t="s">
        <v>19</v>
      </c>
      <c r="X1151"/>
    </row>
    <row r="1152" spans="1:24">
      <c r="A1152" t="s">
        <v>72</v>
      </c>
      <c r="B1152" t="s">
        <v>72</v>
      </c>
      <c r="C1152" t="s">
        <v>34</v>
      </c>
      <c r="D1152" t="s">
        <v>212</v>
      </c>
      <c r="E1152" t="s">
        <v>19</v>
      </c>
      <c r="F1152" t="s">
        <v>19</v>
      </c>
      <c r="G1152" t="s">
        <v>19</v>
      </c>
      <c r="H1152" t="s">
        <v>19</v>
      </c>
      <c r="I1152" t="s">
        <v>19</v>
      </c>
      <c r="J1152" t="s">
        <v>288</v>
      </c>
      <c r="K1152" s="21" t="s">
        <v>607</v>
      </c>
      <c r="L1152" s="5" t="s">
        <v>19</v>
      </c>
      <c r="M1152" s="5" t="s">
        <v>19</v>
      </c>
      <c r="N1152" s="5" t="str">
        <f>HYPERLINK("http://www.lghausys.co.kr/popup/rn/download/downloadPopup.jsp?from=plwindow&amp;uu=/upload/window/REPORT/ECL-TR-20-0151.pdf","1.584")</f>
        <v>1.584</v>
      </c>
      <c r="O1152" s="5" t="s">
        <v>19</v>
      </c>
      <c r="P1152" s="5" t="s">
        <v>19</v>
      </c>
      <c r="Q1152" s="5" t="s">
        <v>19</v>
      </c>
      <c r="R1152" s="5" t="s">
        <v>19</v>
      </c>
      <c r="S1152" s="5" t="s">
        <v>19</v>
      </c>
      <c r="T1152" s="5" t="s">
        <v>19</v>
      </c>
      <c r="U1152" s="5" t="s">
        <v>19</v>
      </c>
      <c r="V1152" s="5" t="s">
        <v>19</v>
      </c>
      <c r="W1152" s="5" t="s">
        <v>19</v>
      </c>
      <c r="X1152"/>
    </row>
    <row r="1153" spans="1:24">
      <c r="A1153" t="s">
        <v>42</v>
      </c>
      <c r="B1153" t="s">
        <v>42</v>
      </c>
      <c r="C1153" t="s">
        <v>34</v>
      </c>
      <c r="D1153" t="s">
        <v>56</v>
      </c>
      <c r="E1153" t="s">
        <v>19</v>
      </c>
      <c r="F1153" t="s">
        <v>19</v>
      </c>
      <c r="G1153" t="s">
        <v>19</v>
      </c>
      <c r="H1153" t="s">
        <v>19</v>
      </c>
      <c r="I1153" t="s">
        <v>19</v>
      </c>
      <c r="J1153" t="s">
        <v>97</v>
      </c>
      <c r="K1153" s="21" t="s">
        <v>607</v>
      </c>
      <c r="L1153" s="5" t="s">
        <v>19</v>
      </c>
      <c r="M1153" s="5" t="s">
        <v>19</v>
      </c>
      <c r="N1153" s="5" t="str">
        <f>HYPERLINK("http://www.lghausys.co.kr/popup/rn/download/downloadPopup.jsp?from=plwindow&amp;uu=/upload/window/REPORT/LGH-TA20-132.pdf","1.563")</f>
        <v>1.563</v>
      </c>
      <c r="O1153" s="5" t="s">
        <v>19</v>
      </c>
      <c r="P1153" s="5" t="s">
        <v>19</v>
      </c>
      <c r="Q1153" s="5" t="s">
        <v>19</v>
      </c>
      <c r="R1153" s="5" t="s">
        <v>19</v>
      </c>
      <c r="S1153" s="5" t="s">
        <v>19</v>
      </c>
      <c r="T1153" s="5" t="s">
        <v>19</v>
      </c>
      <c r="U1153" s="5" t="s">
        <v>19</v>
      </c>
      <c r="V1153" s="5" t="s">
        <v>19</v>
      </c>
      <c r="W1153" s="5" t="s">
        <v>75</v>
      </c>
      <c r="X1153"/>
    </row>
    <row r="1154" spans="1:24">
      <c r="A1154" t="s">
        <v>240</v>
      </c>
      <c r="B1154" t="s">
        <v>240</v>
      </c>
      <c r="C1154" t="s">
        <v>34</v>
      </c>
      <c r="D1154" t="s">
        <v>68</v>
      </c>
      <c r="E1154" t="s">
        <v>19</v>
      </c>
      <c r="F1154" t="s">
        <v>19</v>
      </c>
      <c r="G1154" t="s">
        <v>19</v>
      </c>
      <c r="H1154" t="s">
        <v>66</v>
      </c>
      <c r="I1154" t="s">
        <v>19</v>
      </c>
      <c r="J1154" t="s">
        <v>97</v>
      </c>
      <c r="K1154" s="21" t="s">
        <v>607</v>
      </c>
      <c r="L1154" s="5" t="s">
        <v>19</v>
      </c>
      <c r="M1154" s="5" t="s">
        <v>19</v>
      </c>
      <c r="N1154" s="5" t="str">
        <f>HYPERLINK("http://www.lghausys.co.kr/popup/rn/download/downloadPopup.jsp?from=plwindow&amp;uu=/upload/window/REPORT/LGH-TA20-152.pdf","0.972")</f>
        <v>0.972</v>
      </c>
      <c r="O1154" s="5" t="s">
        <v>19</v>
      </c>
      <c r="P1154" s="5" t="s">
        <v>19</v>
      </c>
      <c r="Q1154" s="5" t="s">
        <v>19</v>
      </c>
      <c r="R1154" s="5" t="s">
        <v>19</v>
      </c>
      <c r="S1154" s="5" t="s">
        <v>19</v>
      </c>
      <c r="T1154" s="5" t="s">
        <v>19</v>
      </c>
      <c r="U1154" s="5" t="s">
        <v>19</v>
      </c>
      <c r="V1154" s="5" t="s">
        <v>19</v>
      </c>
      <c r="W1154" s="5" t="s">
        <v>75</v>
      </c>
      <c r="X1154"/>
    </row>
    <row r="1155" spans="1:24">
      <c r="A1155" t="s">
        <v>90</v>
      </c>
      <c r="B1155" t="s">
        <v>90</v>
      </c>
      <c r="C1155" t="s">
        <v>31</v>
      </c>
      <c r="D1155" t="s">
        <v>41</v>
      </c>
      <c r="E1155" t="s">
        <v>19</v>
      </c>
      <c r="F1155" t="s">
        <v>19</v>
      </c>
      <c r="G1155" t="s">
        <v>19</v>
      </c>
      <c r="H1155" t="s">
        <v>41</v>
      </c>
      <c r="I1155" t="s">
        <v>19</v>
      </c>
      <c r="J1155" t="s">
        <v>74</v>
      </c>
      <c r="K1155" s="21" t="s">
        <v>607</v>
      </c>
      <c r="L1155" s="5" t="s">
        <v>19</v>
      </c>
      <c r="M1155" s="5" t="s">
        <v>19</v>
      </c>
      <c r="N1155" s="5" t="s">
        <v>19</v>
      </c>
      <c r="O1155" s="5" t="str">
        <f>HYPERLINK("http://www.lghausys.co.kr/popup/rn/download/downloadPopup.jsp?from=plwindow&amp;uu=/upload/window/REPORT/LGH-WA20-186.pdf","1등급")</f>
        <v>1등급</v>
      </c>
      <c r="P1155" s="5" t="s">
        <v>19</v>
      </c>
      <c r="Q1155" s="5" t="s">
        <v>19</v>
      </c>
      <c r="R1155" s="5" t="s">
        <v>19</v>
      </c>
      <c r="S1155" s="5" t="s">
        <v>19</v>
      </c>
      <c r="T1155" s="5" t="s">
        <v>19</v>
      </c>
      <c r="U1155" s="5" t="s">
        <v>19</v>
      </c>
      <c r="V1155" s="5" t="s">
        <v>19</v>
      </c>
      <c r="W1155" s="5" t="s">
        <v>152</v>
      </c>
      <c r="X1155"/>
    </row>
    <row r="1156" spans="1:24">
      <c r="A1156" t="s">
        <v>49</v>
      </c>
      <c r="B1156" t="s">
        <v>49</v>
      </c>
      <c r="C1156" t="s">
        <v>31</v>
      </c>
      <c r="D1156" t="s">
        <v>25</v>
      </c>
      <c r="E1156" t="s">
        <v>19</v>
      </c>
      <c r="F1156" t="s">
        <v>19</v>
      </c>
      <c r="G1156" t="s">
        <v>19</v>
      </c>
      <c r="H1156" t="s">
        <v>19</v>
      </c>
      <c r="I1156" t="s">
        <v>19</v>
      </c>
      <c r="J1156" t="s">
        <v>74</v>
      </c>
      <c r="K1156" s="21" t="s">
        <v>607</v>
      </c>
      <c r="L1156" s="5" t="s">
        <v>19</v>
      </c>
      <c r="M1156" s="5" t="s">
        <v>19</v>
      </c>
      <c r="N1156" s="5" t="s">
        <v>19</v>
      </c>
      <c r="O1156" s="5" t="str">
        <f>HYPERLINK("http://www.lghausys.co.kr/popup/rn/download/downloadPopup.jsp?from=plwindow&amp;uu=/upload/window/REPORT/LGH-WA20-187.pdf","2등급")</f>
        <v>2등급</v>
      </c>
      <c r="P1156" s="5" t="s">
        <v>19</v>
      </c>
      <c r="Q1156" s="5" t="s">
        <v>19</v>
      </c>
      <c r="R1156" s="5" t="s">
        <v>19</v>
      </c>
      <c r="S1156" s="5" t="s">
        <v>19</v>
      </c>
      <c r="T1156" s="5" t="s">
        <v>19</v>
      </c>
      <c r="U1156" s="5" t="s">
        <v>19</v>
      </c>
      <c r="V1156" s="5" t="s">
        <v>19</v>
      </c>
      <c r="W1156" s="5" t="s">
        <v>152</v>
      </c>
      <c r="X1156"/>
    </row>
    <row r="1157" spans="1:24">
      <c r="A1157" t="s">
        <v>52</v>
      </c>
      <c r="B1157" t="s">
        <v>52</v>
      </c>
      <c r="C1157" t="s">
        <v>31</v>
      </c>
      <c r="D1157" t="s">
        <v>28</v>
      </c>
      <c r="E1157" t="s">
        <v>19</v>
      </c>
      <c r="F1157" t="s">
        <v>19</v>
      </c>
      <c r="G1157" t="s">
        <v>19</v>
      </c>
      <c r="H1157" t="s">
        <v>25</v>
      </c>
      <c r="I1157" t="s">
        <v>19</v>
      </c>
      <c r="J1157" t="s">
        <v>145</v>
      </c>
      <c r="K1157" s="21" t="s">
        <v>607</v>
      </c>
      <c r="L1157" s="5" t="s">
        <v>19</v>
      </c>
      <c r="M1157" s="5" t="s">
        <v>19</v>
      </c>
      <c r="N1157" s="5" t="s">
        <v>19</v>
      </c>
      <c r="O1157" s="5" t="str">
        <f>HYPERLINK("http://www.lghausys.co.kr/popup/rn/download/downloadPopup.jsp?from=plwindow&amp;uu=/upload/window/REPORT/LGH-WA20-190.pdf","1등급")</f>
        <v>1등급</v>
      </c>
      <c r="P1157" s="5" t="s">
        <v>19</v>
      </c>
      <c r="Q1157" s="5" t="s">
        <v>19</v>
      </c>
      <c r="R1157" s="5" t="s">
        <v>19</v>
      </c>
      <c r="S1157" s="5" t="s">
        <v>19</v>
      </c>
      <c r="T1157" s="5" t="s">
        <v>19</v>
      </c>
      <c r="U1157" s="5" t="s">
        <v>19</v>
      </c>
      <c r="V1157" s="5" t="s">
        <v>19</v>
      </c>
      <c r="W1157" s="5" t="s">
        <v>152</v>
      </c>
      <c r="X1157"/>
    </row>
    <row r="1158" spans="1:24">
      <c r="A1158" t="s">
        <v>450</v>
      </c>
      <c r="B1158" t="s">
        <v>450</v>
      </c>
      <c r="C1158" t="s">
        <v>31</v>
      </c>
      <c r="D1158" t="s">
        <v>21</v>
      </c>
      <c r="E1158" t="s">
        <v>19</v>
      </c>
      <c r="F1158" t="s">
        <v>19</v>
      </c>
      <c r="G1158" t="s">
        <v>19</v>
      </c>
      <c r="H1158" t="s">
        <v>21</v>
      </c>
      <c r="I1158" t="s">
        <v>19</v>
      </c>
      <c r="J1158" t="s">
        <v>99</v>
      </c>
      <c r="K1158" s="21" t="s">
        <v>607</v>
      </c>
      <c r="L1158" s="5" t="s">
        <v>19</v>
      </c>
      <c r="M1158" s="5" t="s">
        <v>19</v>
      </c>
      <c r="N1158" s="5" t="s">
        <v>19</v>
      </c>
      <c r="O1158" s="5" t="str">
        <f>HYPERLINK("http://www.lghausys.co.kr/popup/rn/download/downloadPopup.jsp?from=plwindow&amp;uu=/upload/window/REPORT/LGH-WA20-194.pdf","1등급")</f>
        <v>1등급</v>
      </c>
      <c r="P1158" s="5" t="str">
        <f>HYPERLINK("http://www.lghausys.co.kr/popup/rn/download/downloadPopup.jsp?from=plwindow&amp;uu=/upload/window/REPORT/LGH-WA20-194.pdf","50등급")</f>
        <v>50등급</v>
      </c>
      <c r="Q1158" s="5" t="str">
        <f>HYPERLINK("http://www.lghausys.co.kr/popup/rn/download/downloadPopup.jsp?from=plwindow&amp;uu=/upload/window/REPORT/LGH-WA20-194.pdf","360등급")</f>
        <v>360등급</v>
      </c>
      <c r="R1158" s="5" t="s">
        <v>19</v>
      </c>
      <c r="S1158" s="5" t="s">
        <v>19</v>
      </c>
      <c r="T1158" s="5" t="s">
        <v>19</v>
      </c>
      <c r="U1158" s="5" t="s">
        <v>19</v>
      </c>
      <c r="V1158" s="5" t="s">
        <v>19</v>
      </c>
      <c r="W1158" s="5" t="s">
        <v>152</v>
      </c>
      <c r="X1158"/>
    </row>
    <row r="1159" spans="1:24">
      <c r="A1159" t="s">
        <v>58</v>
      </c>
      <c r="B1159" t="s">
        <v>58</v>
      </c>
      <c r="C1159" t="s">
        <v>31</v>
      </c>
      <c r="D1159" t="s">
        <v>25</v>
      </c>
      <c r="E1159" t="s">
        <v>19</v>
      </c>
      <c r="F1159" t="s">
        <v>19</v>
      </c>
      <c r="G1159" t="s">
        <v>19</v>
      </c>
      <c r="H1159" t="s">
        <v>19</v>
      </c>
      <c r="I1159" t="s">
        <v>19</v>
      </c>
      <c r="J1159" t="s">
        <v>99</v>
      </c>
      <c r="K1159" s="21" t="s">
        <v>607</v>
      </c>
      <c r="L1159" s="5" t="s">
        <v>19</v>
      </c>
      <c r="M1159" s="5" t="s">
        <v>19</v>
      </c>
      <c r="N1159" s="5" t="s">
        <v>19</v>
      </c>
      <c r="O1159" s="5" t="str">
        <f>HYPERLINK("http://www.lghausys.co.kr/popup/rn/download/downloadPopup.jsp?from=plwindow&amp;uu=/upload/window/REPORT/LGH-WA20-195.pdf","1등급")</f>
        <v>1등급</v>
      </c>
      <c r="P1159" s="5" t="str">
        <f>HYPERLINK("http://www.lghausys.co.kr/popup/rn/download/downloadPopup.jsp?from=plwindow&amp;uu=/upload/window/REPORT/LGH-WA20-195.pdf","50등급")</f>
        <v>50등급</v>
      </c>
      <c r="Q1159" s="5" t="str">
        <f>HYPERLINK("http://www.lghausys.co.kr/popup/rn/download/downloadPopup.jsp?from=plwindow&amp;uu=/upload/window/REPORT/LGH-WA20-195.pdf","130등급")</f>
        <v>130등급</v>
      </c>
      <c r="R1159" s="5" t="s">
        <v>19</v>
      </c>
      <c r="S1159" s="5" t="s">
        <v>19</v>
      </c>
      <c r="T1159" s="5" t="s">
        <v>19</v>
      </c>
      <c r="U1159" s="5" t="s">
        <v>19</v>
      </c>
      <c r="V1159" s="5" t="s">
        <v>19</v>
      </c>
      <c r="W1159" s="5" t="s">
        <v>152</v>
      </c>
      <c r="X1159"/>
    </row>
    <row r="1160" spans="1:24">
      <c r="A1160" t="s">
        <v>73</v>
      </c>
      <c r="B1160" t="s">
        <v>73</v>
      </c>
      <c r="C1160" t="s">
        <v>34</v>
      </c>
      <c r="D1160" t="s">
        <v>28</v>
      </c>
      <c r="E1160" t="s">
        <v>19</v>
      </c>
      <c r="F1160" t="s">
        <v>19</v>
      </c>
      <c r="G1160" t="s">
        <v>19</v>
      </c>
      <c r="H1160" t="s">
        <v>25</v>
      </c>
      <c r="I1160" t="s">
        <v>19</v>
      </c>
      <c r="J1160" t="s">
        <v>145</v>
      </c>
      <c r="K1160" s="21" t="s">
        <v>607</v>
      </c>
      <c r="L1160" s="5" t="s">
        <v>19</v>
      </c>
      <c r="M1160" s="5" t="s">
        <v>19</v>
      </c>
      <c r="N1160" s="5" t="str">
        <f>HYPERLINK("http://www.lghausys.co.kr/popup/rn/download/downloadPopup.jsp?from=plwindow&amp;uu=/upload/window/REPORT/LGH-TA20-199.pdf","1.095")</f>
        <v>1.095</v>
      </c>
      <c r="O1160" s="5" t="s">
        <v>19</v>
      </c>
      <c r="P1160" s="5" t="s">
        <v>19</v>
      </c>
      <c r="Q1160" s="5" t="s">
        <v>19</v>
      </c>
      <c r="R1160" s="5" t="s">
        <v>19</v>
      </c>
      <c r="S1160" s="5" t="s">
        <v>19</v>
      </c>
      <c r="T1160" s="5" t="s">
        <v>19</v>
      </c>
      <c r="U1160" s="5" t="s">
        <v>19</v>
      </c>
      <c r="V1160" s="5" t="s">
        <v>19</v>
      </c>
      <c r="W1160" s="5" t="s">
        <v>75</v>
      </c>
      <c r="X1160"/>
    </row>
    <row r="1161" spans="1:24">
      <c r="A1161" t="s">
        <v>144</v>
      </c>
      <c r="B1161" t="s">
        <v>144</v>
      </c>
      <c r="C1161" t="s">
        <v>34</v>
      </c>
      <c r="D1161" t="s">
        <v>28</v>
      </c>
      <c r="E1161" t="s">
        <v>19</v>
      </c>
      <c r="F1161" t="s">
        <v>19</v>
      </c>
      <c r="G1161" t="s">
        <v>19</v>
      </c>
      <c r="H1161" t="s">
        <v>79</v>
      </c>
      <c r="I1161" t="s">
        <v>19</v>
      </c>
      <c r="J1161" t="s">
        <v>74</v>
      </c>
      <c r="K1161" s="21" t="s">
        <v>607</v>
      </c>
      <c r="L1161" s="5" t="s">
        <v>19</v>
      </c>
      <c r="M1161" s="5" t="s">
        <v>19</v>
      </c>
      <c r="N1161" s="5" t="str">
        <f>HYPERLINK("http://www.lghausys.co.kr/popup/rn/download/downloadPopup.jsp?from=plwindow&amp;uu=/upload/window/REPORT/LGH-TA20-201.pdf","1.295")</f>
        <v>1.295</v>
      </c>
      <c r="O1161" s="5" t="s">
        <v>19</v>
      </c>
      <c r="P1161" s="5" t="s">
        <v>19</v>
      </c>
      <c r="Q1161" s="5" t="s">
        <v>19</v>
      </c>
      <c r="R1161" s="5" t="s">
        <v>19</v>
      </c>
      <c r="S1161" s="5" t="s">
        <v>19</v>
      </c>
      <c r="T1161" s="5" t="s">
        <v>19</v>
      </c>
      <c r="U1161" s="5" t="s">
        <v>19</v>
      </c>
      <c r="V1161" s="5" t="s">
        <v>19</v>
      </c>
      <c r="W1161" s="5" t="s">
        <v>75</v>
      </c>
      <c r="X1161"/>
    </row>
    <row r="1162" spans="1:24">
      <c r="A1162" t="s">
        <v>441</v>
      </c>
      <c r="B1162" t="s">
        <v>441</v>
      </c>
      <c r="C1162" t="s">
        <v>20</v>
      </c>
      <c r="D1162" t="s">
        <v>429</v>
      </c>
      <c r="E1162" t="s">
        <v>19</v>
      </c>
      <c r="F1162" t="s">
        <v>19</v>
      </c>
      <c r="G1162" t="s">
        <v>19</v>
      </c>
      <c r="H1162" t="s">
        <v>19</v>
      </c>
      <c r="I1162" t="s">
        <v>19</v>
      </c>
      <c r="J1162" t="s">
        <v>286</v>
      </c>
      <c r="K1162" s="21" t="str">
        <f>IF(X1162&lt;=0.9,HYPERLINK("http://www.lxhausys.co.kr/popup/rn/download/downloadPopup.jsp?from=plwindow&amp;uu=/upload/window/REPORT/LGH-TW20-034.pdf","1등급"),IF(X1162&lt;=1.2,HYPERLINK("http://www.lxhausys.co.kr/popup/rn/download/downloadPopup.jsp?from=plwindow&amp;uu=/upload/window/REPORT/LGH-TW20-034.pdf","2등급"),IF(X1162&lt;=1.8,HYPERLINK("http://www.lxhausys.co.kr/popup/rn/download/downloadPopup.jsp?from=plwindow&amp;uu=/upload/window/REPORT/LGH-TW20-034.pdf","3등급"),IF(X1162&lt;=2.3,HYPERLINK("http://www.lxhausys.co.kr/popup/rn/download/downloadPopup.jsp?from=plwindow&amp;uu=/upload/window/REPORT/LGH-TW20-034.pdf","4등급"),IF(X1162&lt;=2.8,HYPERLINK("http://www.lxhausys.co.kr/popup/rn/download/downloadPopup.jsp?from=plwindow&amp;uu=/upload/window/REPORT/LGH-TW20-034.pdf","5등급"),HYPERLINK("http://www.lxhausys.co.kr/popup/rn/download/downloadPopup.jsp?from=plwindow&amp;uu=/upload/window/REPORT/LGH-TW20-034.pdf","등급외"))))))</f>
        <v>1등급</v>
      </c>
      <c r="L1162" s="5">
        <v>0.82200000000000006</v>
      </c>
      <c r="M1162" s="5" t="s">
        <v>22</v>
      </c>
      <c r="N1162" s="5" t="s">
        <v>607</v>
      </c>
      <c r="O1162" s="5" t="s">
        <v>19</v>
      </c>
      <c r="P1162" s="5" t="s">
        <v>19</v>
      </c>
      <c r="Q1162" s="5" t="s">
        <v>19</v>
      </c>
      <c r="R1162" s="5" t="s">
        <v>19</v>
      </c>
      <c r="S1162" s="5" t="s">
        <v>19</v>
      </c>
      <c r="T1162" s="5" t="s">
        <v>19</v>
      </c>
      <c r="U1162" s="5" t="s">
        <v>19</v>
      </c>
      <c r="V1162" s="5" t="s">
        <v>19</v>
      </c>
      <c r="W1162" s="5" t="s">
        <v>19</v>
      </c>
      <c r="X1162" s="19">
        <f>L1162</f>
        <v>0.82200000000000006</v>
      </c>
    </row>
    <row r="1163" spans="1:24">
      <c r="A1163" t="s">
        <v>449</v>
      </c>
      <c r="B1163" t="s">
        <v>449</v>
      </c>
      <c r="C1163" t="s">
        <v>20</v>
      </c>
      <c r="D1163" t="s">
        <v>431</v>
      </c>
      <c r="E1163" t="s">
        <v>19</v>
      </c>
      <c r="F1163" t="s">
        <v>19</v>
      </c>
      <c r="G1163" t="s">
        <v>19</v>
      </c>
      <c r="H1163" t="s">
        <v>19</v>
      </c>
      <c r="I1163" t="s">
        <v>19</v>
      </c>
      <c r="J1163" t="s">
        <v>286</v>
      </c>
      <c r="K1163" s="21" t="str">
        <f>IF(X1163&lt;=0.9,HYPERLINK("http://www.lxhausys.co.kr/popup/rn/download/downloadPopup.jsp?from=plwindow&amp;uu=/upload/window/REPORT/LGH-TW20-035.pdf","1등급"),IF(X1163&lt;=1.2,HYPERLINK("http://www.lxhausys.co.kr/popup/rn/download/downloadPopup.jsp?from=plwindow&amp;uu=/upload/window/REPORT/LGH-TW20-035.pdf","2등급"),IF(X1163&lt;=1.8,HYPERLINK("http://www.lxhausys.co.kr/popup/rn/download/downloadPopup.jsp?from=plwindow&amp;uu=/upload/window/REPORT/LGH-TW20-035.pdf","3등급"),IF(X1163&lt;=2.3,HYPERLINK("http://www.lxhausys.co.kr/popup/rn/download/downloadPopup.jsp?from=plwindow&amp;uu=/upload/window/REPORT/LGH-TW20-035.pdf","4등급"),IF(X1163&lt;=2.8,HYPERLINK("http://www.lxhausys.co.kr/popup/rn/download/downloadPopup.jsp?from=plwindow&amp;uu=/upload/window/REPORT/LGH-TW20-035.pdf","5등급"),HYPERLINK("http://www.lxhausys.co.kr/popup/rn/download/downloadPopup.jsp?from=plwindow&amp;uu=/upload/window/REPORT/LGH-TW20-035.pdf","등급외"))))))</f>
        <v>1등급</v>
      </c>
      <c r="L1163" s="5">
        <v>0.83400000000000007</v>
      </c>
      <c r="M1163" s="5" t="s">
        <v>22</v>
      </c>
      <c r="N1163" s="5" t="s">
        <v>607</v>
      </c>
      <c r="O1163" s="5" t="s">
        <v>19</v>
      </c>
      <c r="P1163" s="5" t="s">
        <v>19</v>
      </c>
      <c r="Q1163" s="5" t="s">
        <v>19</v>
      </c>
      <c r="R1163" s="5" t="s">
        <v>19</v>
      </c>
      <c r="S1163" s="5" t="s">
        <v>19</v>
      </c>
      <c r="T1163" s="5" t="s">
        <v>19</v>
      </c>
      <c r="U1163" s="5" t="s">
        <v>19</v>
      </c>
      <c r="V1163" s="5" t="s">
        <v>19</v>
      </c>
      <c r="W1163" s="5" t="s">
        <v>19</v>
      </c>
      <c r="X1163" s="19">
        <f>L1163</f>
        <v>0.83400000000000007</v>
      </c>
    </row>
    <row r="1164" spans="1:24">
      <c r="A1164" t="s">
        <v>100</v>
      </c>
      <c r="B1164" t="s">
        <v>100</v>
      </c>
      <c r="C1164" t="s">
        <v>31</v>
      </c>
      <c r="D1164" t="s">
        <v>41</v>
      </c>
      <c r="E1164" t="s">
        <v>19</v>
      </c>
      <c r="F1164" t="s">
        <v>19</v>
      </c>
      <c r="G1164" t="s">
        <v>19</v>
      </c>
      <c r="H1164" t="s">
        <v>41</v>
      </c>
      <c r="I1164" t="s">
        <v>19</v>
      </c>
      <c r="J1164" t="s">
        <v>74</v>
      </c>
      <c r="K1164" s="21" t="s">
        <v>607</v>
      </c>
      <c r="L1164" s="5" t="s">
        <v>19</v>
      </c>
      <c r="M1164" s="5" t="s">
        <v>19</v>
      </c>
      <c r="N1164" s="5" t="s">
        <v>19</v>
      </c>
      <c r="O1164" s="5" t="str">
        <f>HYPERLINK("http://www.lghausys.co.kr/popup/rn/download/downloadPopup.jsp?from=plwindow&amp;uu=/upload/window/REPORT/LGH-WA20-204.pdf","1등급")</f>
        <v>1등급</v>
      </c>
      <c r="P1164" s="5" t="s">
        <v>19</v>
      </c>
      <c r="Q1164" s="5" t="s">
        <v>19</v>
      </c>
      <c r="R1164" s="5" t="s">
        <v>19</v>
      </c>
      <c r="S1164" s="5" t="s">
        <v>19</v>
      </c>
      <c r="T1164" s="5" t="s">
        <v>19</v>
      </c>
      <c r="U1164" s="5" t="s">
        <v>19</v>
      </c>
      <c r="V1164" s="5" t="s">
        <v>19</v>
      </c>
      <c r="W1164" s="5" t="s">
        <v>152</v>
      </c>
      <c r="X1164"/>
    </row>
    <row r="1165" spans="1:24">
      <c r="A1165" t="s">
        <v>73</v>
      </c>
      <c r="B1165" t="s">
        <v>73</v>
      </c>
      <c r="C1165" t="s">
        <v>31</v>
      </c>
      <c r="D1165" t="s">
        <v>25</v>
      </c>
      <c r="E1165" t="s">
        <v>19</v>
      </c>
      <c r="F1165" t="s">
        <v>19</v>
      </c>
      <c r="G1165" t="s">
        <v>19</v>
      </c>
      <c r="H1165" t="s">
        <v>28</v>
      </c>
      <c r="I1165" t="s">
        <v>19</v>
      </c>
      <c r="J1165" t="s">
        <v>99</v>
      </c>
      <c r="K1165" s="21" t="s">
        <v>607</v>
      </c>
      <c r="L1165" s="5" t="s">
        <v>19</v>
      </c>
      <c r="M1165" s="5" t="s">
        <v>19</v>
      </c>
      <c r="N1165" s="5" t="s">
        <v>19</v>
      </c>
      <c r="O1165" s="5" t="str">
        <f>HYPERLINK("http://www.lghausys.co.kr/popup/rn/download/downloadPopup.jsp?from=plwindow&amp;uu=/upload/window/REPORT/LGH-WA20-205.pdf","1등급")</f>
        <v>1등급</v>
      </c>
      <c r="P1165" s="5" t="s">
        <v>19</v>
      </c>
      <c r="Q1165" s="5" t="s">
        <v>19</v>
      </c>
      <c r="R1165" s="5" t="s">
        <v>19</v>
      </c>
      <c r="S1165" s="5" t="s">
        <v>19</v>
      </c>
      <c r="T1165" s="5" t="s">
        <v>19</v>
      </c>
      <c r="U1165" s="5" t="s">
        <v>19</v>
      </c>
      <c r="V1165" s="5" t="s">
        <v>19</v>
      </c>
      <c r="W1165" s="5" t="s">
        <v>152</v>
      </c>
      <c r="X1165"/>
    </row>
    <row r="1166" spans="1:24">
      <c r="A1166" t="s">
        <v>48</v>
      </c>
      <c r="B1166" t="s">
        <v>48</v>
      </c>
      <c r="C1166" t="s">
        <v>31</v>
      </c>
      <c r="D1166" t="s">
        <v>28</v>
      </c>
      <c r="E1166" t="s">
        <v>19</v>
      </c>
      <c r="F1166" t="s">
        <v>19</v>
      </c>
      <c r="G1166" t="s">
        <v>19</v>
      </c>
      <c r="H1166" t="s">
        <v>28</v>
      </c>
      <c r="I1166" t="s">
        <v>19</v>
      </c>
      <c r="J1166" t="s">
        <v>74</v>
      </c>
      <c r="K1166" s="21" t="s">
        <v>607</v>
      </c>
      <c r="L1166" s="5" t="s">
        <v>19</v>
      </c>
      <c r="M1166" s="5" t="s">
        <v>19</v>
      </c>
      <c r="N1166" s="5" t="s">
        <v>19</v>
      </c>
      <c r="O1166" s="5" t="str">
        <f>HYPERLINK("http://www.lghausys.co.kr/popup/rn/download/downloadPopup.jsp?from=plwindow&amp;uu=/upload/window/REPORT/LGH-WA20-209.pdf","1등급")</f>
        <v>1등급</v>
      </c>
      <c r="P1166" s="5" t="s">
        <v>19</v>
      </c>
      <c r="Q1166" s="5" t="s">
        <v>19</v>
      </c>
      <c r="R1166" s="5" t="s">
        <v>19</v>
      </c>
      <c r="S1166" s="5" t="s">
        <v>19</v>
      </c>
      <c r="T1166" s="5" t="s">
        <v>19</v>
      </c>
      <c r="U1166" s="5" t="s">
        <v>19</v>
      </c>
      <c r="V1166" s="5" t="s">
        <v>19</v>
      </c>
      <c r="W1166" s="5" t="s">
        <v>152</v>
      </c>
      <c r="X1166"/>
    </row>
    <row r="1167" spans="1:24">
      <c r="A1167" t="s">
        <v>61</v>
      </c>
      <c r="B1167" t="s">
        <v>61</v>
      </c>
      <c r="C1167" t="s">
        <v>31</v>
      </c>
      <c r="D1167" t="s">
        <v>41</v>
      </c>
      <c r="E1167" t="s">
        <v>19</v>
      </c>
      <c r="F1167" t="s">
        <v>19</v>
      </c>
      <c r="G1167" t="s">
        <v>19</v>
      </c>
      <c r="H1167" t="s">
        <v>19</v>
      </c>
      <c r="I1167" t="s">
        <v>19</v>
      </c>
      <c r="J1167" t="s">
        <v>99</v>
      </c>
      <c r="K1167" s="21" t="s">
        <v>607</v>
      </c>
      <c r="L1167" s="5" t="s">
        <v>19</v>
      </c>
      <c r="M1167" s="5" t="s">
        <v>19</v>
      </c>
      <c r="N1167" s="5" t="s">
        <v>19</v>
      </c>
      <c r="O1167" s="5" t="str">
        <f>HYPERLINK("http://www.lghausys.co.kr/popup/rn/download/downloadPopup.jsp?from=plwindow&amp;uu=/upload/window/REPORT/LGH-WA20-215.pdf","2등급")</f>
        <v>2등급</v>
      </c>
      <c r="P1167" s="5" t="str">
        <f>HYPERLINK("http://www.lghausys.co.kr/popup/rn/download/downloadPopup.jsp?from=plwindow&amp;uu=/upload/window/REPORT/LGH-WA20-215.pdf","15등급")</f>
        <v>15등급</v>
      </c>
      <c r="Q1167" s="5" t="str">
        <f>HYPERLINK("http://www.lghausys.co.kr/popup/rn/download/downloadPopup.jsp?from=plwindow&amp;uu=/upload/window/REPORT/LGH-WA20-215.pdf","240등급")</f>
        <v>240등급</v>
      </c>
      <c r="R1167" s="5" t="s">
        <v>19</v>
      </c>
      <c r="S1167" s="5" t="s">
        <v>19</v>
      </c>
      <c r="T1167" s="5" t="s">
        <v>19</v>
      </c>
      <c r="U1167" s="5" t="s">
        <v>19</v>
      </c>
      <c r="V1167" s="5" t="s">
        <v>19</v>
      </c>
      <c r="W1167" s="5" t="s">
        <v>152</v>
      </c>
      <c r="X1167"/>
    </row>
    <row r="1168" spans="1:24">
      <c r="A1168" t="s">
        <v>451</v>
      </c>
      <c r="B1168" t="s">
        <v>451</v>
      </c>
      <c r="C1168" t="s">
        <v>31</v>
      </c>
      <c r="D1168" t="s">
        <v>452</v>
      </c>
      <c r="E1168" t="s">
        <v>19</v>
      </c>
      <c r="F1168" t="s">
        <v>453</v>
      </c>
      <c r="G1168" t="s">
        <v>19</v>
      </c>
      <c r="H1168" t="s">
        <v>454</v>
      </c>
      <c r="I1168" t="s">
        <v>19</v>
      </c>
      <c r="J1168" t="s">
        <v>145</v>
      </c>
      <c r="K1168" s="21" t="s">
        <v>607</v>
      </c>
      <c r="L1168" s="5" t="s">
        <v>19</v>
      </c>
      <c r="M1168" s="5" t="s">
        <v>19</v>
      </c>
      <c r="N1168" s="5" t="s">
        <v>19</v>
      </c>
      <c r="O1168" s="5" t="s">
        <v>19</v>
      </c>
      <c r="P1168" s="5" t="str">
        <f>HYPERLINK("http://www.lghausys.co.kr/popup/rn/download/downloadPopup.jsp?from=plwindow&amp;uu=/upload/window/REPORT/LGH-WA20-217.pdf","50등급")</f>
        <v>50등급</v>
      </c>
      <c r="Q1168" s="5" t="str">
        <f>HYPERLINK("http://www.lghausys.co.kr/popup/rn/download/downloadPopup.jsp?from=plwindow&amp;uu=/upload/window/REPORT/LGH-WA20-217.pdf","400등급")</f>
        <v>400등급</v>
      </c>
      <c r="R1168" s="5" t="s">
        <v>19</v>
      </c>
      <c r="S1168" s="5" t="s">
        <v>19</v>
      </c>
      <c r="T1168" s="5" t="s">
        <v>19</v>
      </c>
      <c r="U1168" s="5" t="s">
        <v>19</v>
      </c>
      <c r="V1168" s="5" t="s">
        <v>19</v>
      </c>
      <c r="W1168" s="5" t="s">
        <v>152</v>
      </c>
      <c r="X1168"/>
    </row>
    <row r="1169" spans="1:24">
      <c r="A1169" t="s">
        <v>451</v>
      </c>
      <c r="B1169" t="s">
        <v>451</v>
      </c>
      <c r="C1169" t="s">
        <v>31</v>
      </c>
      <c r="D1169" t="s">
        <v>453</v>
      </c>
      <c r="E1169" t="s">
        <v>455</v>
      </c>
      <c r="F1169" t="s">
        <v>19</v>
      </c>
      <c r="G1169" t="s">
        <v>19</v>
      </c>
      <c r="H1169" t="s">
        <v>454</v>
      </c>
      <c r="I1169" t="s">
        <v>19</v>
      </c>
      <c r="J1169" t="s">
        <v>145</v>
      </c>
      <c r="K1169" s="21" t="s">
        <v>607</v>
      </c>
      <c r="L1169" s="5" t="s">
        <v>19</v>
      </c>
      <c r="M1169" s="5" t="s">
        <v>19</v>
      </c>
      <c r="N1169" s="5" t="s">
        <v>19</v>
      </c>
      <c r="O1169" s="5" t="s">
        <v>19</v>
      </c>
      <c r="P1169" s="5" t="str">
        <f>HYPERLINK("http://www.lghausys.co.kr/popup/rn/download/downloadPopup.jsp?from=plwindow&amp;uu=/upload/window/REPORT/LGH-WA20-218.pdf","50등급")</f>
        <v>50등급</v>
      </c>
      <c r="Q1169" s="5" t="str">
        <f>HYPERLINK("http://www.lghausys.co.kr/popup/rn/download/downloadPopup.jsp?from=plwindow&amp;uu=/upload/window/REPORT/LGH-WA20-218.pdf","400등급")</f>
        <v>400등급</v>
      </c>
      <c r="R1169" s="5" t="s">
        <v>19</v>
      </c>
      <c r="S1169" s="5" t="s">
        <v>19</v>
      </c>
      <c r="T1169" s="5" t="s">
        <v>19</v>
      </c>
      <c r="U1169" s="5" t="s">
        <v>19</v>
      </c>
      <c r="V1169" s="5" t="s">
        <v>19</v>
      </c>
      <c r="W1169" s="5" t="s">
        <v>152</v>
      </c>
      <c r="X1169"/>
    </row>
    <row r="1170" spans="1:24">
      <c r="A1170" t="s">
        <v>451</v>
      </c>
      <c r="B1170" t="s">
        <v>451</v>
      </c>
      <c r="C1170" t="s">
        <v>14</v>
      </c>
      <c r="D1170" t="s">
        <v>453</v>
      </c>
      <c r="E1170" t="s">
        <v>455</v>
      </c>
      <c r="F1170" t="s">
        <v>19</v>
      </c>
      <c r="G1170" t="s">
        <v>19</v>
      </c>
      <c r="H1170" t="s">
        <v>454</v>
      </c>
      <c r="I1170" t="s">
        <v>19</v>
      </c>
      <c r="J1170" t="s">
        <v>145</v>
      </c>
      <c r="K1170" s="21" t="s">
        <v>607</v>
      </c>
      <c r="L1170" s="5" t="s">
        <v>19</v>
      </c>
      <c r="M1170" s="5" t="s">
        <v>19</v>
      </c>
      <c r="N1170" s="5" t="s">
        <v>19</v>
      </c>
      <c r="O1170" s="5" t="s">
        <v>19</v>
      </c>
      <c r="P1170" s="5" t="s">
        <v>19</v>
      </c>
      <c r="Q1170" s="5" t="s">
        <v>19</v>
      </c>
      <c r="R1170" s="5" t="s">
        <v>19</v>
      </c>
      <c r="S1170" s="5" t="s">
        <v>19</v>
      </c>
      <c r="T1170" s="5" t="str">
        <f>HYPERLINK("http://www.lghausys.co.kr/popup/rn/download/downloadPopup.jsp?from=plwindow&amp;uu=/upload/window/REPORT/LGH-DA20-040.pdf","결로발생없음")</f>
        <v>결로발생없음</v>
      </c>
      <c r="U1170" s="5" t="s">
        <v>19</v>
      </c>
      <c r="V1170" s="5" t="s">
        <v>19</v>
      </c>
      <c r="W1170" s="5" t="s">
        <v>75</v>
      </c>
      <c r="X1170"/>
    </row>
    <row r="1171" spans="1:24">
      <c r="A1171" t="s">
        <v>451</v>
      </c>
      <c r="B1171" t="s">
        <v>451</v>
      </c>
      <c r="C1171" t="s">
        <v>14</v>
      </c>
      <c r="D1171" t="s">
        <v>453</v>
      </c>
      <c r="E1171" t="s">
        <v>455</v>
      </c>
      <c r="F1171" t="s">
        <v>19</v>
      </c>
      <c r="G1171" t="s">
        <v>19</v>
      </c>
      <c r="H1171" t="s">
        <v>454</v>
      </c>
      <c r="I1171" t="s">
        <v>19</v>
      </c>
      <c r="J1171" t="s">
        <v>145</v>
      </c>
      <c r="K1171" s="21" t="s">
        <v>607</v>
      </c>
      <c r="L1171" s="5" t="s">
        <v>19</v>
      </c>
      <c r="M1171" s="5" t="s">
        <v>19</v>
      </c>
      <c r="N1171" s="5" t="s">
        <v>19</v>
      </c>
      <c r="O1171" s="5" t="s">
        <v>19</v>
      </c>
      <c r="P1171" s="5" t="s">
        <v>19</v>
      </c>
      <c r="Q1171" s="5" t="s">
        <v>19</v>
      </c>
      <c r="R1171" s="5" t="s">
        <v>19</v>
      </c>
      <c r="S1171" s="5" t="s">
        <v>19</v>
      </c>
      <c r="T1171" s="5" t="str">
        <f>HYPERLINK("http://www.lghausys.co.kr/popup/rn/download/downloadPopup.jsp?from=plwindow&amp;uu=/upload/window/REPORT/LGH-DA20-041.pdf","결로발생없음")</f>
        <v>결로발생없음</v>
      </c>
      <c r="U1171" s="5" t="s">
        <v>19</v>
      </c>
      <c r="V1171" s="5" t="s">
        <v>19</v>
      </c>
      <c r="W1171" s="5" t="s">
        <v>75</v>
      </c>
      <c r="X1171"/>
    </row>
    <row r="1172" spans="1:24">
      <c r="A1172" t="s">
        <v>456</v>
      </c>
      <c r="B1172" t="s">
        <v>456</v>
      </c>
      <c r="C1172" t="s">
        <v>20</v>
      </c>
      <c r="D1172" t="s">
        <v>158</v>
      </c>
      <c r="E1172" t="s">
        <v>19</v>
      </c>
      <c r="F1172" t="s">
        <v>25</v>
      </c>
      <c r="G1172" t="s">
        <v>182</v>
      </c>
      <c r="H1172" t="s">
        <v>241</v>
      </c>
      <c r="I1172" t="s">
        <v>19</v>
      </c>
      <c r="J1172" t="s">
        <v>74</v>
      </c>
      <c r="K1172" s="21" t="str">
        <f>IF(X1172&lt;=0.9,HYPERLINK("http://www.lxhausys.co.kr/popup/rn/download/downloadPopup.jsp?from=plwindow&amp;uu=/upload/window/REPORT/LGH-TW20-036.pdf","1등급"),IF(X1172&lt;=1.2,HYPERLINK("http://www.lxhausys.co.kr/popup/rn/download/downloadPopup.jsp?from=plwindow&amp;uu=/upload/window/REPORT/LGH-TW20-036.pdf","2등급"),IF(X1172&lt;=1.8,HYPERLINK("http://www.lxhausys.co.kr/popup/rn/download/downloadPopup.jsp?from=plwindow&amp;uu=/upload/window/REPORT/LGH-TW20-036.pdf","3등급"),IF(X1172&lt;=2.3,HYPERLINK("http://www.lxhausys.co.kr/popup/rn/download/downloadPopup.jsp?from=plwindow&amp;uu=/upload/window/REPORT/LGH-TW20-036.pdf","4등급"),IF(X1172&lt;=2.8,HYPERLINK("http://www.lxhausys.co.kr/popup/rn/download/downloadPopup.jsp?from=plwindow&amp;uu=/upload/window/REPORT/LGH-TW20-036.pdf","5등급"),HYPERLINK("http://www.lxhausys.co.kr/popup/rn/download/downloadPopup.jsp?from=plwindow&amp;uu=/upload/window/REPORT/LGH-TW20-036.pdf","등급외"))))))</f>
        <v>2등급</v>
      </c>
      <c r="L1172" s="5">
        <v>0.99400000000000011</v>
      </c>
      <c r="M1172" s="5" t="s">
        <v>22</v>
      </c>
      <c r="N1172" s="5" t="s">
        <v>607</v>
      </c>
      <c r="O1172" s="5" t="s">
        <v>19</v>
      </c>
      <c r="P1172" s="5" t="s">
        <v>19</v>
      </c>
      <c r="Q1172" s="5" t="s">
        <v>19</v>
      </c>
      <c r="R1172" s="5" t="s">
        <v>19</v>
      </c>
      <c r="S1172" s="5" t="s">
        <v>19</v>
      </c>
      <c r="T1172" s="5" t="s">
        <v>19</v>
      </c>
      <c r="U1172" s="5" t="s">
        <v>19</v>
      </c>
      <c r="V1172" s="5" t="s">
        <v>19</v>
      </c>
      <c r="W1172" s="5" t="s">
        <v>19</v>
      </c>
      <c r="X1172" s="19">
        <f>L1172</f>
        <v>0.99400000000000011</v>
      </c>
    </row>
    <row r="1173" spans="1:24">
      <c r="A1173" t="s">
        <v>451</v>
      </c>
      <c r="B1173" t="s">
        <v>451</v>
      </c>
      <c r="C1173" t="s">
        <v>20</v>
      </c>
      <c r="D1173" t="s">
        <v>452</v>
      </c>
      <c r="E1173" t="s">
        <v>19</v>
      </c>
      <c r="F1173" t="s">
        <v>453</v>
      </c>
      <c r="G1173" t="s">
        <v>19</v>
      </c>
      <c r="H1173" t="s">
        <v>454</v>
      </c>
      <c r="I1173" t="s">
        <v>19</v>
      </c>
      <c r="J1173" t="s">
        <v>145</v>
      </c>
      <c r="K1173" s="21" t="str">
        <f>IF(X1173&lt;=0.9,HYPERLINK("http://www.lxhausys.co.kr/popup/rn/download/downloadPopup.jsp?from=plwindow&amp;uu=/upload/window/REPORT/LGH-TW20-037.pdf","1등급"),IF(X1173&lt;=1.2,HYPERLINK("http://www.lxhausys.co.kr/popup/rn/download/downloadPopup.jsp?from=plwindow&amp;uu=/upload/window/REPORT/LGH-TW20-037.pdf","2등급"),IF(X1173&lt;=1.8,HYPERLINK("http://www.lxhausys.co.kr/popup/rn/download/downloadPopup.jsp?from=plwindow&amp;uu=/upload/window/REPORT/LGH-TW20-037.pdf","3등급"),IF(X1173&lt;=2.3,HYPERLINK("http://www.lxhausys.co.kr/popup/rn/download/downloadPopup.jsp?from=plwindow&amp;uu=/upload/window/REPORT/LGH-TW20-037.pdf","4등급"),IF(X1173&lt;=2.8,HYPERLINK("http://www.lxhausys.co.kr/popup/rn/download/downloadPopup.jsp?from=plwindow&amp;uu=/upload/window/REPORT/LGH-TW20-037.pdf","5등급"),HYPERLINK("http://www.lxhausys.co.kr/popup/rn/download/downloadPopup.jsp?from=plwindow&amp;uu=/upload/window/REPORT/LGH-TW20-037.pdf","등급외"))))))</f>
        <v>1등급</v>
      </c>
      <c r="L1173" s="5">
        <v>0.75599999999999989</v>
      </c>
      <c r="M1173" s="5" t="s">
        <v>22</v>
      </c>
      <c r="N1173" s="5" t="s">
        <v>607</v>
      </c>
      <c r="O1173" s="5" t="s">
        <v>19</v>
      </c>
      <c r="P1173" s="5" t="s">
        <v>19</v>
      </c>
      <c r="Q1173" s="5" t="s">
        <v>19</v>
      </c>
      <c r="R1173" s="5" t="s">
        <v>19</v>
      </c>
      <c r="S1173" s="5" t="s">
        <v>19</v>
      </c>
      <c r="T1173" s="5" t="s">
        <v>19</v>
      </c>
      <c r="U1173" s="5" t="s">
        <v>19</v>
      </c>
      <c r="V1173" s="5" t="s">
        <v>19</v>
      </c>
      <c r="W1173" s="5" t="s">
        <v>19</v>
      </c>
      <c r="X1173" s="19">
        <f>L1173</f>
        <v>0.75599999999999989</v>
      </c>
    </row>
    <row r="1174" spans="1:24">
      <c r="A1174" t="s">
        <v>451</v>
      </c>
      <c r="B1174" t="s">
        <v>451</v>
      </c>
      <c r="C1174" t="s">
        <v>20</v>
      </c>
      <c r="D1174" t="s">
        <v>453</v>
      </c>
      <c r="E1174" t="s">
        <v>455</v>
      </c>
      <c r="F1174" t="s">
        <v>19</v>
      </c>
      <c r="G1174" t="s">
        <v>19</v>
      </c>
      <c r="H1174" t="s">
        <v>454</v>
      </c>
      <c r="I1174" t="s">
        <v>19</v>
      </c>
      <c r="J1174" t="s">
        <v>145</v>
      </c>
      <c r="K1174" s="21" t="str">
        <f>IF(X1174&lt;=0.9,HYPERLINK("http://www.lxhausys.co.kr/popup/rn/download/downloadPopup.jsp?from=plwindow&amp;uu=/upload/window/REPORT/LGH-TW20-038.pdf","1등급"),IF(X1174&lt;=1.2,HYPERLINK("http://www.lxhausys.co.kr/popup/rn/download/downloadPopup.jsp?from=plwindow&amp;uu=/upload/window/REPORT/LGH-TW20-038.pdf","2등급"),IF(X1174&lt;=1.8,HYPERLINK("http://www.lxhausys.co.kr/popup/rn/download/downloadPopup.jsp?from=plwindow&amp;uu=/upload/window/REPORT/LGH-TW20-038.pdf","3등급"),IF(X1174&lt;=2.3,HYPERLINK("http://www.lxhausys.co.kr/popup/rn/download/downloadPopup.jsp?from=plwindow&amp;uu=/upload/window/REPORT/LGH-TW20-038.pdf","4등급"),IF(X1174&lt;=2.8,HYPERLINK("http://www.lxhausys.co.kr/popup/rn/download/downloadPopup.jsp?from=plwindow&amp;uu=/upload/window/REPORT/LGH-TW20-038.pdf","5등급"),HYPERLINK("http://www.lxhausys.co.kr/popup/rn/download/downloadPopup.jsp?from=plwindow&amp;uu=/upload/window/REPORT/LGH-TW20-038.pdf","등급외"))))))</f>
        <v>1등급</v>
      </c>
      <c r="L1174" s="5">
        <v>0.83</v>
      </c>
      <c r="M1174" s="5" t="s">
        <v>22</v>
      </c>
      <c r="N1174" s="5" t="s">
        <v>607</v>
      </c>
      <c r="O1174" s="5" t="s">
        <v>19</v>
      </c>
      <c r="P1174" s="5" t="s">
        <v>19</v>
      </c>
      <c r="Q1174" s="5" t="s">
        <v>19</v>
      </c>
      <c r="R1174" s="5" t="s">
        <v>19</v>
      </c>
      <c r="S1174" s="5" t="s">
        <v>19</v>
      </c>
      <c r="T1174" s="5" t="s">
        <v>19</v>
      </c>
      <c r="U1174" s="5" t="s">
        <v>19</v>
      </c>
      <c r="V1174" s="5" t="s">
        <v>19</v>
      </c>
      <c r="W1174" s="5" t="s">
        <v>19</v>
      </c>
      <c r="X1174" s="19">
        <f>L1174</f>
        <v>0.83</v>
      </c>
    </row>
    <row r="1175" spans="1:24">
      <c r="A1175" t="s">
        <v>456</v>
      </c>
      <c r="B1175" t="s">
        <v>456</v>
      </c>
      <c r="C1175" t="s">
        <v>14</v>
      </c>
      <c r="D1175" t="s">
        <v>158</v>
      </c>
      <c r="E1175" t="s">
        <v>19</v>
      </c>
      <c r="F1175" t="s">
        <v>25</v>
      </c>
      <c r="G1175" t="s">
        <v>182</v>
      </c>
      <c r="H1175" t="s">
        <v>241</v>
      </c>
      <c r="I1175" t="s">
        <v>19</v>
      </c>
      <c r="J1175" t="s">
        <v>74</v>
      </c>
      <c r="K1175" s="21" t="s">
        <v>607</v>
      </c>
      <c r="L1175" s="5" t="s">
        <v>19</v>
      </c>
      <c r="M1175" s="5" t="s">
        <v>19</v>
      </c>
      <c r="N1175" s="5" t="s">
        <v>19</v>
      </c>
      <c r="O1175" s="5" t="s">
        <v>19</v>
      </c>
      <c r="P1175" s="5" t="s">
        <v>19</v>
      </c>
      <c r="Q1175" s="5" t="s">
        <v>19</v>
      </c>
      <c r="R1175" s="5" t="s">
        <v>19</v>
      </c>
      <c r="S1175" s="5" t="s">
        <v>19</v>
      </c>
      <c r="T1175" s="5" t="str">
        <f>HYPERLINK("http://www.lghausys.co.kr/popup/rn/download/downloadPopup.jsp?from=plwindow&amp;uu=/upload/window/REPORT/LGH-DA20-042.pdf","결로발생없음")</f>
        <v>결로발생없음</v>
      </c>
      <c r="U1175" s="5" t="s">
        <v>19</v>
      </c>
      <c r="V1175" s="5" t="s">
        <v>19</v>
      </c>
      <c r="W1175" s="5" t="s">
        <v>75</v>
      </c>
      <c r="X1175"/>
    </row>
    <row r="1176" spans="1:24">
      <c r="A1176" t="s">
        <v>457</v>
      </c>
      <c r="B1176" t="s">
        <v>457</v>
      </c>
      <c r="C1176" t="s">
        <v>31</v>
      </c>
      <c r="D1176" t="s">
        <v>453</v>
      </c>
      <c r="E1176" t="s">
        <v>19</v>
      </c>
      <c r="F1176" t="s">
        <v>19</v>
      </c>
      <c r="G1176" t="s">
        <v>19</v>
      </c>
      <c r="H1176" t="s">
        <v>19</v>
      </c>
      <c r="I1176" t="s">
        <v>19</v>
      </c>
      <c r="J1176" t="s">
        <v>145</v>
      </c>
      <c r="K1176" s="21" t="s">
        <v>607</v>
      </c>
      <c r="L1176" s="5" t="s">
        <v>19</v>
      </c>
      <c r="M1176" s="5" t="s">
        <v>19</v>
      </c>
      <c r="N1176" s="5" t="s">
        <v>19</v>
      </c>
      <c r="O1176" s="5" t="s">
        <v>19</v>
      </c>
      <c r="P1176" s="5" t="str">
        <f>HYPERLINK("http://www.lghausys.co.kr/popup/rn/download/downloadPopup.jsp?from=plwindow&amp;uu=/upload/window/REPORT/LGH-WA20-219.pdf","25등급")</f>
        <v>25등급</v>
      </c>
      <c r="Q1176" s="5" t="str">
        <f>HYPERLINK("http://www.lghausys.co.kr/popup/rn/download/downloadPopup.jsp?from=plwindow&amp;uu=/upload/window/REPORT/LGH-WA20-219.pdf","280등급")</f>
        <v>280등급</v>
      </c>
      <c r="R1176" s="5" t="s">
        <v>19</v>
      </c>
      <c r="S1176" s="5" t="s">
        <v>19</v>
      </c>
      <c r="T1176" s="5" t="s">
        <v>19</v>
      </c>
      <c r="U1176" s="5" t="s">
        <v>19</v>
      </c>
      <c r="V1176" s="5" t="s">
        <v>19</v>
      </c>
      <c r="W1176" s="5" t="s">
        <v>152</v>
      </c>
      <c r="X1176"/>
    </row>
    <row r="1177" spans="1:24">
      <c r="A1177" t="s">
        <v>457</v>
      </c>
      <c r="B1177" t="s">
        <v>457</v>
      </c>
      <c r="C1177" t="s">
        <v>31</v>
      </c>
      <c r="D1177" t="s">
        <v>453</v>
      </c>
      <c r="E1177" t="s">
        <v>455</v>
      </c>
      <c r="F1177" t="s">
        <v>19</v>
      </c>
      <c r="G1177" t="s">
        <v>19</v>
      </c>
      <c r="H1177" t="s">
        <v>19</v>
      </c>
      <c r="I1177" t="s">
        <v>19</v>
      </c>
      <c r="J1177" t="s">
        <v>145</v>
      </c>
      <c r="K1177" s="21" t="s">
        <v>607</v>
      </c>
      <c r="L1177" s="5" t="s">
        <v>19</v>
      </c>
      <c r="M1177" s="5" t="s">
        <v>19</v>
      </c>
      <c r="N1177" s="5" t="s">
        <v>19</v>
      </c>
      <c r="O1177" s="5" t="s">
        <v>19</v>
      </c>
      <c r="P1177" s="5" t="str">
        <f>HYPERLINK("http://www.lghausys.co.kr/popup/rn/download/downloadPopup.jsp?from=plwindow&amp;uu=/upload/window/REPORT/LGH-WA20-220.pdf","25등급")</f>
        <v>25등급</v>
      </c>
      <c r="Q1177" s="5" t="str">
        <f>HYPERLINK("http://www.lghausys.co.kr/popup/rn/download/downloadPopup.jsp?from=plwindow&amp;uu=/upload/window/REPORT/LGH-WA20-220.pdf","300등급")</f>
        <v>300등급</v>
      </c>
      <c r="R1177" s="5" t="s">
        <v>19</v>
      </c>
      <c r="S1177" s="5" t="s">
        <v>19</v>
      </c>
      <c r="T1177" s="5" t="s">
        <v>19</v>
      </c>
      <c r="U1177" s="5" t="s">
        <v>19</v>
      </c>
      <c r="V1177" s="5" t="s">
        <v>19</v>
      </c>
      <c r="W1177" s="5" t="s">
        <v>152</v>
      </c>
      <c r="X1177"/>
    </row>
    <row r="1178" spans="1:24">
      <c r="A1178" t="s">
        <v>458</v>
      </c>
      <c r="B1178" t="s">
        <v>458</v>
      </c>
      <c r="C1178" t="s">
        <v>31</v>
      </c>
      <c r="D1178" t="s">
        <v>452</v>
      </c>
      <c r="E1178" t="s">
        <v>19</v>
      </c>
      <c r="F1178" t="s">
        <v>453</v>
      </c>
      <c r="G1178" t="s">
        <v>19</v>
      </c>
      <c r="H1178" t="s">
        <v>19</v>
      </c>
      <c r="I1178" t="s">
        <v>19</v>
      </c>
      <c r="J1178" t="s">
        <v>145</v>
      </c>
      <c r="K1178" s="21" t="s">
        <v>607</v>
      </c>
      <c r="L1178" s="5" t="s">
        <v>19</v>
      </c>
      <c r="M1178" s="5" t="s">
        <v>19</v>
      </c>
      <c r="N1178" s="5" t="s">
        <v>19</v>
      </c>
      <c r="O1178" s="5" t="s">
        <v>19</v>
      </c>
      <c r="P1178" s="5" t="str">
        <f>HYPERLINK("http://www.lghausys.co.kr/popup/rn/download/downloadPopup.jsp?from=plwindow&amp;uu=/upload/window/REPORT/LGH-WA20-221.pdf","25등급")</f>
        <v>25등급</v>
      </c>
      <c r="Q1178" s="5" t="str">
        <f>HYPERLINK("http://www.lghausys.co.kr/popup/rn/download/downloadPopup.jsp?from=plwindow&amp;uu=/upload/window/REPORT/LGH-WA20-221.pdf","280등급")</f>
        <v>280등급</v>
      </c>
      <c r="R1178" s="5" t="s">
        <v>19</v>
      </c>
      <c r="S1178" s="5" t="s">
        <v>19</v>
      </c>
      <c r="T1178" s="5" t="s">
        <v>19</v>
      </c>
      <c r="U1178" s="5" t="s">
        <v>19</v>
      </c>
      <c r="V1178" s="5" t="s">
        <v>19</v>
      </c>
      <c r="W1178" s="5" t="s">
        <v>152</v>
      </c>
      <c r="X1178"/>
    </row>
    <row r="1179" spans="1:24">
      <c r="A1179" t="s">
        <v>458</v>
      </c>
      <c r="B1179" t="s">
        <v>458</v>
      </c>
      <c r="C1179" t="s">
        <v>31</v>
      </c>
      <c r="D1179" t="s">
        <v>453</v>
      </c>
      <c r="E1179" t="s">
        <v>455</v>
      </c>
      <c r="F1179" t="s">
        <v>19</v>
      </c>
      <c r="G1179" t="s">
        <v>19</v>
      </c>
      <c r="H1179" t="s">
        <v>19</v>
      </c>
      <c r="I1179" t="s">
        <v>19</v>
      </c>
      <c r="J1179" t="s">
        <v>145</v>
      </c>
      <c r="K1179" s="21" t="s">
        <v>607</v>
      </c>
      <c r="L1179" s="5" t="s">
        <v>19</v>
      </c>
      <c r="M1179" s="5" t="s">
        <v>19</v>
      </c>
      <c r="N1179" s="5" t="s">
        <v>19</v>
      </c>
      <c r="O1179" s="5" t="s">
        <v>19</v>
      </c>
      <c r="P1179" s="5" t="str">
        <f>HYPERLINK("http://www.lghausys.co.kr/popup/rn/download/downloadPopup.jsp?from=plwindow&amp;uu=/upload/window/REPORT/LGH-WA20-222.pdf","25등급")</f>
        <v>25등급</v>
      </c>
      <c r="Q1179" s="5" t="str">
        <f>HYPERLINK("http://www.lghausys.co.kr/popup/rn/download/downloadPopup.jsp?from=plwindow&amp;uu=/upload/window/REPORT/LGH-WA20-222.pdf","300등급")</f>
        <v>300등급</v>
      </c>
      <c r="R1179" s="5" t="s">
        <v>19</v>
      </c>
      <c r="S1179" s="5" t="s">
        <v>19</v>
      </c>
      <c r="T1179" s="5" t="s">
        <v>19</v>
      </c>
      <c r="U1179" s="5" t="s">
        <v>19</v>
      </c>
      <c r="V1179" s="5" t="s">
        <v>19</v>
      </c>
      <c r="W1179" s="5" t="s">
        <v>152</v>
      </c>
      <c r="X1179"/>
    </row>
    <row r="1180" spans="1:24">
      <c r="A1180" t="s">
        <v>456</v>
      </c>
      <c r="B1180" t="s">
        <v>456</v>
      </c>
      <c r="C1180" t="s">
        <v>31</v>
      </c>
      <c r="D1180" t="s">
        <v>158</v>
      </c>
      <c r="E1180" t="s">
        <v>19</v>
      </c>
      <c r="F1180" t="s">
        <v>25</v>
      </c>
      <c r="G1180" t="s">
        <v>182</v>
      </c>
      <c r="H1180" t="s">
        <v>241</v>
      </c>
      <c r="I1180" t="s">
        <v>19</v>
      </c>
      <c r="J1180" t="s">
        <v>74</v>
      </c>
      <c r="K1180" s="21" t="s">
        <v>607</v>
      </c>
      <c r="L1180" s="5" t="s">
        <v>19</v>
      </c>
      <c r="M1180" s="5" t="s">
        <v>19</v>
      </c>
      <c r="N1180" s="5" t="s">
        <v>19</v>
      </c>
      <c r="O1180" s="5" t="str">
        <f>HYPERLINK("http://www.lghausys.co.kr/popup/rn/download/downloadPopup.jsp?from=plwindow&amp;uu=/upload/window/REPORT/LGH-WA20-223.pdf","1등급")</f>
        <v>1등급</v>
      </c>
      <c r="P1180" s="5" t="str">
        <f>HYPERLINK("http://www.lghausys.co.kr/popup/rn/download/downloadPopup.jsp?from=plwindow&amp;uu=/upload/window/REPORT/LGH-WA20-223.pdf","50등급")</f>
        <v>50등급</v>
      </c>
      <c r="Q1180" s="5" t="str">
        <f>HYPERLINK("http://www.lghausys.co.kr/popup/rn/download/downloadPopup.jsp?from=plwindow&amp;uu=/upload/window/REPORT/LGH-WA20-223.pdf","400등급")</f>
        <v>400등급</v>
      </c>
      <c r="R1180" s="5" t="s">
        <v>19</v>
      </c>
      <c r="S1180" s="5" t="s">
        <v>19</v>
      </c>
      <c r="T1180" s="5" t="s">
        <v>19</v>
      </c>
      <c r="U1180" s="5" t="s">
        <v>19</v>
      </c>
      <c r="V1180" s="5" t="s">
        <v>19</v>
      </c>
      <c r="W1180" s="5" t="s">
        <v>152</v>
      </c>
      <c r="X1180"/>
    </row>
    <row r="1181" spans="1:24">
      <c r="A1181" t="s">
        <v>457</v>
      </c>
      <c r="B1181" t="s">
        <v>457</v>
      </c>
      <c r="C1181" t="s">
        <v>20</v>
      </c>
      <c r="D1181" t="s">
        <v>453</v>
      </c>
      <c r="E1181" t="s">
        <v>19</v>
      </c>
      <c r="F1181" t="s">
        <v>19</v>
      </c>
      <c r="G1181" t="s">
        <v>19</v>
      </c>
      <c r="H1181" t="s">
        <v>19</v>
      </c>
      <c r="I1181" t="s">
        <v>19</v>
      </c>
      <c r="J1181" t="s">
        <v>145</v>
      </c>
      <c r="K1181" s="21" t="str">
        <f>IF(X1181&lt;=0.9,HYPERLINK("http://www.lxhausys.co.kr/popup/rn/download/downloadPopup.jsp?from=plwindow&amp;uu=/upload/window/REPORT/LGH-TW20-039.pdf","1등급"),IF(X1181&lt;=1.2,HYPERLINK("http://www.lxhausys.co.kr/popup/rn/download/downloadPopup.jsp?from=plwindow&amp;uu=/upload/window/REPORT/LGH-TW20-039.pdf","2등급"),IF(X1181&lt;=1.8,HYPERLINK("http://www.lxhausys.co.kr/popup/rn/download/downloadPopup.jsp?from=plwindow&amp;uu=/upload/window/REPORT/LGH-TW20-039.pdf","3등급"),IF(X1181&lt;=2.3,HYPERLINK("http://www.lxhausys.co.kr/popup/rn/download/downloadPopup.jsp?from=plwindow&amp;uu=/upload/window/REPORT/LGH-TW20-039.pdf","4등급"),IF(X1181&lt;=2.8,HYPERLINK("http://www.lxhausys.co.kr/popup/rn/download/downloadPopup.jsp?from=plwindow&amp;uu=/upload/window/REPORT/LGH-TW20-039.pdf","5등급"),HYPERLINK("http://www.lxhausys.co.kr/popup/rn/download/downloadPopup.jsp?from=plwindow&amp;uu=/upload/window/REPORT/LGH-TW20-039.pdf","등급외"))))))</f>
        <v>4등급</v>
      </c>
      <c r="L1181" s="5">
        <v>2.2170000000000001</v>
      </c>
      <c r="M1181" s="5" t="s">
        <v>103</v>
      </c>
      <c r="N1181" s="5" t="s">
        <v>607</v>
      </c>
      <c r="O1181" s="5" t="s">
        <v>19</v>
      </c>
      <c r="P1181" s="5" t="s">
        <v>19</v>
      </c>
      <c r="Q1181" s="5" t="s">
        <v>19</v>
      </c>
      <c r="R1181" s="5" t="s">
        <v>19</v>
      </c>
      <c r="S1181" s="5" t="s">
        <v>19</v>
      </c>
      <c r="T1181" s="5" t="s">
        <v>19</v>
      </c>
      <c r="U1181" s="5" t="s">
        <v>19</v>
      </c>
      <c r="V1181" s="5" t="s">
        <v>19</v>
      </c>
      <c r="W1181" s="5" t="s">
        <v>19</v>
      </c>
      <c r="X1181" s="19">
        <f>L1181</f>
        <v>2.2170000000000001</v>
      </c>
    </row>
    <row r="1182" spans="1:24">
      <c r="A1182" t="s">
        <v>457</v>
      </c>
      <c r="B1182" t="s">
        <v>457</v>
      </c>
      <c r="C1182" t="s">
        <v>20</v>
      </c>
      <c r="D1182" t="s">
        <v>453</v>
      </c>
      <c r="E1182" t="s">
        <v>455</v>
      </c>
      <c r="F1182" t="s">
        <v>19</v>
      </c>
      <c r="G1182" t="s">
        <v>19</v>
      </c>
      <c r="H1182" t="s">
        <v>19</v>
      </c>
      <c r="I1182" t="s">
        <v>19</v>
      </c>
      <c r="J1182" t="s">
        <v>145</v>
      </c>
      <c r="K1182" s="21" t="str">
        <f>IF(X1182&lt;=0.9,HYPERLINK("http://www.lxhausys.co.kr/popup/rn/download/downloadPopup.jsp?from=plwindow&amp;uu=/upload/window/REPORT/LGH-TW20-040.pdf","1등급"),IF(X1182&lt;=1.2,HYPERLINK("http://www.lxhausys.co.kr/popup/rn/download/downloadPopup.jsp?from=plwindow&amp;uu=/upload/window/REPORT/LGH-TW20-040.pdf","2등급"),IF(X1182&lt;=1.8,HYPERLINK("http://www.lxhausys.co.kr/popup/rn/download/downloadPopup.jsp?from=plwindow&amp;uu=/upload/window/REPORT/LGH-TW20-040.pdf","3등급"),IF(X1182&lt;=2.3,HYPERLINK("http://www.lxhausys.co.kr/popup/rn/download/downloadPopup.jsp?from=plwindow&amp;uu=/upload/window/REPORT/LGH-TW20-040.pdf","4등급"),IF(X1182&lt;=2.8,HYPERLINK("http://www.lxhausys.co.kr/popup/rn/download/downloadPopup.jsp?from=plwindow&amp;uu=/upload/window/REPORT/LGH-TW20-040.pdf","5등급"),HYPERLINK("http://www.lxhausys.co.kr/popup/rn/download/downloadPopup.jsp?from=plwindow&amp;uu=/upload/window/REPORT/LGH-TW20-040.pdf","등급외"))))))</f>
        <v>4등급</v>
      </c>
      <c r="L1182" s="5">
        <v>2.242</v>
      </c>
      <c r="M1182" s="5" t="s">
        <v>103</v>
      </c>
      <c r="N1182" s="5" t="s">
        <v>607</v>
      </c>
      <c r="O1182" s="5" t="s">
        <v>19</v>
      </c>
      <c r="P1182" s="5" t="s">
        <v>19</v>
      </c>
      <c r="Q1182" s="5" t="s">
        <v>19</v>
      </c>
      <c r="R1182" s="5" t="s">
        <v>19</v>
      </c>
      <c r="S1182" s="5" t="s">
        <v>19</v>
      </c>
      <c r="T1182" s="5" t="s">
        <v>19</v>
      </c>
      <c r="U1182" s="5" t="s">
        <v>19</v>
      </c>
      <c r="V1182" s="5" t="s">
        <v>19</v>
      </c>
      <c r="W1182" s="5" t="s">
        <v>19</v>
      </c>
      <c r="X1182" s="19">
        <f>L1182</f>
        <v>2.242</v>
      </c>
    </row>
    <row r="1183" spans="1:24">
      <c r="A1183" t="s">
        <v>458</v>
      </c>
      <c r="B1183" t="s">
        <v>458</v>
      </c>
      <c r="C1183" t="s">
        <v>20</v>
      </c>
      <c r="D1183" t="s">
        <v>452</v>
      </c>
      <c r="E1183" t="s">
        <v>19</v>
      </c>
      <c r="F1183" t="s">
        <v>453</v>
      </c>
      <c r="G1183" t="s">
        <v>19</v>
      </c>
      <c r="H1183" t="s">
        <v>19</v>
      </c>
      <c r="I1183" t="s">
        <v>19</v>
      </c>
      <c r="J1183" t="s">
        <v>145</v>
      </c>
      <c r="K1183" s="21" t="str">
        <f>IF(X1183&lt;=0.9,HYPERLINK("http://www.lxhausys.co.kr/popup/rn/download/downloadPopup.jsp?from=plwindow&amp;uu=/upload/window/REPORT/LGH-TW20-041.pdf","1등급"),IF(X1183&lt;=1.2,HYPERLINK("http://www.lxhausys.co.kr/popup/rn/download/downloadPopup.jsp?from=plwindow&amp;uu=/upload/window/REPORT/LGH-TW20-041.pdf","2등급"),IF(X1183&lt;=1.8,HYPERLINK("http://www.lxhausys.co.kr/popup/rn/download/downloadPopup.jsp?from=plwindow&amp;uu=/upload/window/REPORT/LGH-TW20-041.pdf","3등급"),IF(X1183&lt;=2.3,HYPERLINK("http://www.lxhausys.co.kr/popup/rn/download/downloadPopup.jsp?from=plwindow&amp;uu=/upload/window/REPORT/LGH-TW20-041.pdf","4등급"),IF(X1183&lt;=2.8,HYPERLINK("http://www.lxhausys.co.kr/popup/rn/download/downloadPopup.jsp?from=plwindow&amp;uu=/upload/window/REPORT/LGH-TW20-041.pdf","5등급"),HYPERLINK("http://www.lxhausys.co.kr/popup/rn/download/downloadPopup.jsp?from=plwindow&amp;uu=/upload/window/REPORT/LGH-TW20-041.pdf","등급외"))))))</f>
        <v>4등급</v>
      </c>
      <c r="L1183" s="5">
        <v>2.0790000000000002</v>
      </c>
      <c r="M1183" s="5" t="s">
        <v>103</v>
      </c>
      <c r="N1183" s="5" t="s">
        <v>607</v>
      </c>
      <c r="O1183" s="5" t="s">
        <v>19</v>
      </c>
      <c r="P1183" s="5" t="s">
        <v>19</v>
      </c>
      <c r="Q1183" s="5" t="s">
        <v>19</v>
      </c>
      <c r="R1183" s="5" t="s">
        <v>19</v>
      </c>
      <c r="S1183" s="5" t="s">
        <v>19</v>
      </c>
      <c r="T1183" s="5" t="s">
        <v>19</v>
      </c>
      <c r="U1183" s="5" t="s">
        <v>19</v>
      </c>
      <c r="V1183" s="5" t="s">
        <v>19</v>
      </c>
      <c r="W1183" s="5" t="s">
        <v>19</v>
      </c>
      <c r="X1183" s="19">
        <f>L1183</f>
        <v>2.0790000000000002</v>
      </c>
    </row>
    <row r="1184" spans="1:24">
      <c r="A1184" t="s">
        <v>458</v>
      </c>
      <c r="B1184" t="s">
        <v>458</v>
      </c>
      <c r="C1184" t="s">
        <v>20</v>
      </c>
      <c r="D1184" t="s">
        <v>453</v>
      </c>
      <c r="E1184" t="s">
        <v>455</v>
      </c>
      <c r="F1184" t="s">
        <v>19</v>
      </c>
      <c r="G1184" t="s">
        <v>19</v>
      </c>
      <c r="H1184" t="s">
        <v>19</v>
      </c>
      <c r="I1184" t="s">
        <v>19</v>
      </c>
      <c r="J1184" t="s">
        <v>145</v>
      </c>
      <c r="K1184" s="21" t="str">
        <f>IF(X1184&lt;=0.9,HYPERLINK("http://www.lxhausys.co.kr/popup/rn/download/downloadPopup.jsp?from=plwindow&amp;uu=/upload/window/REPORT/LGH-TW20-042.pdf","1등급"),IF(X1184&lt;=1.2,HYPERLINK("http://www.lxhausys.co.kr/popup/rn/download/downloadPopup.jsp?from=plwindow&amp;uu=/upload/window/REPORT/LGH-TW20-042.pdf","2등급"),IF(X1184&lt;=1.8,HYPERLINK("http://www.lxhausys.co.kr/popup/rn/download/downloadPopup.jsp?from=plwindow&amp;uu=/upload/window/REPORT/LGH-TW20-042.pdf","3등급"),IF(X1184&lt;=2.3,HYPERLINK("http://www.lxhausys.co.kr/popup/rn/download/downloadPopup.jsp?from=plwindow&amp;uu=/upload/window/REPORT/LGH-TW20-042.pdf","4등급"),IF(X1184&lt;=2.8,HYPERLINK("http://www.lxhausys.co.kr/popup/rn/download/downloadPopup.jsp?from=plwindow&amp;uu=/upload/window/REPORT/LGH-TW20-042.pdf","5등급"),HYPERLINK("http://www.lxhausys.co.kr/popup/rn/download/downloadPopup.jsp?from=plwindow&amp;uu=/upload/window/REPORT/LGH-TW20-042.pdf","등급외"))))))</f>
        <v>4등급</v>
      </c>
      <c r="L1184" s="5">
        <v>2.1549999999999998</v>
      </c>
      <c r="M1184" s="5" t="s">
        <v>103</v>
      </c>
      <c r="N1184" s="5" t="s">
        <v>607</v>
      </c>
      <c r="O1184" s="5" t="s">
        <v>19</v>
      </c>
      <c r="P1184" s="5" t="s">
        <v>19</v>
      </c>
      <c r="Q1184" s="5" t="s">
        <v>19</v>
      </c>
      <c r="R1184" s="5" t="s">
        <v>19</v>
      </c>
      <c r="S1184" s="5" t="s">
        <v>19</v>
      </c>
      <c r="T1184" s="5" t="s">
        <v>19</v>
      </c>
      <c r="U1184" s="5" t="s">
        <v>19</v>
      </c>
      <c r="V1184" s="5" t="s">
        <v>19</v>
      </c>
      <c r="W1184" s="5" t="s">
        <v>19</v>
      </c>
      <c r="X1184" s="19">
        <f>L1184</f>
        <v>2.1549999999999998</v>
      </c>
    </row>
    <row r="1185" spans="1:24">
      <c r="A1185" t="s">
        <v>73</v>
      </c>
      <c r="B1185" t="s">
        <v>73</v>
      </c>
      <c r="C1185" t="s">
        <v>34</v>
      </c>
      <c r="D1185" t="s">
        <v>28</v>
      </c>
      <c r="E1185" t="s">
        <v>19</v>
      </c>
      <c r="F1185" t="s">
        <v>19</v>
      </c>
      <c r="G1185" t="s">
        <v>19</v>
      </c>
      <c r="H1185" t="s">
        <v>25</v>
      </c>
      <c r="I1185" t="s">
        <v>19</v>
      </c>
      <c r="J1185" t="s">
        <v>97</v>
      </c>
      <c r="K1185" s="21" t="s">
        <v>607</v>
      </c>
      <c r="L1185" s="5" t="s">
        <v>19</v>
      </c>
      <c r="M1185" s="5" t="s">
        <v>19</v>
      </c>
      <c r="N1185" s="5" t="str">
        <f>HYPERLINK("http://www.lghausys.co.kr/popup/rn/download/downloadPopup.jsp?from=plwindow&amp;uu=/upload/window/REPORT/LGH-TA20-216.pdf","1.066")</f>
        <v>1.066</v>
      </c>
      <c r="O1185" s="5" t="s">
        <v>19</v>
      </c>
      <c r="P1185" s="5" t="s">
        <v>19</v>
      </c>
      <c r="Q1185" s="5" t="s">
        <v>19</v>
      </c>
      <c r="R1185" s="5" t="s">
        <v>19</v>
      </c>
      <c r="S1185" s="5" t="s">
        <v>19</v>
      </c>
      <c r="T1185" s="5" t="s">
        <v>19</v>
      </c>
      <c r="U1185" s="5" t="s">
        <v>19</v>
      </c>
      <c r="V1185" s="5" t="s">
        <v>19</v>
      </c>
      <c r="W1185" s="5" t="s">
        <v>75</v>
      </c>
      <c r="X1185"/>
    </row>
    <row r="1186" spans="1:24">
      <c r="A1186" t="s">
        <v>73</v>
      </c>
      <c r="B1186" t="s">
        <v>73</v>
      </c>
      <c r="C1186" t="s">
        <v>31</v>
      </c>
      <c r="D1186" t="s">
        <v>28</v>
      </c>
      <c r="E1186" t="s">
        <v>19</v>
      </c>
      <c r="F1186" t="s">
        <v>19</v>
      </c>
      <c r="G1186" t="s">
        <v>19</v>
      </c>
      <c r="H1186" t="s">
        <v>25</v>
      </c>
      <c r="I1186" t="s">
        <v>19</v>
      </c>
      <c r="J1186" t="s">
        <v>97</v>
      </c>
      <c r="K1186" s="21" t="s">
        <v>607</v>
      </c>
      <c r="L1186" s="5" t="s">
        <v>19</v>
      </c>
      <c r="M1186" s="5" t="s">
        <v>19</v>
      </c>
      <c r="N1186" s="5" t="s">
        <v>19</v>
      </c>
      <c r="O1186" s="5" t="str">
        <f>HYPERLINK("http://www.lghausys.co.kr/popup/rn/download/downloadPopup.jsp?from=plwindow&amp;uu=/upload/window/REPORT/LGH-WA20-227.pdf","1등급")</f>
        <v>1등급</v>
      </c>
      <c r="P1186" s="5" t="s">
        <v>19</v>
      </c>
      <c r="Q1186" s="5" t="s">
        <v>19</v>
      </c>
      <c r="R1186" s="5" t="s">
        <v>19</v>
      </c>
      <c r="S1186" s="5" t="s">
        <v>19</v>
      </c>
      <c r="T1186" s="5" t="s">
        <v>19</v>
      </c>
      <c r="U1186" s="5" t="s">
        <v>19</v>
      </c>
      <c r="V1186" s="5" t="s">
        <v>19</v>
      </c>
      <c r="W1186" s="5" t="s">
        <v>152</v>
      </c>
      <c r="X1186"/>
    </row>
    <row r="1187" spans="1:24">
      <c r="A1187" t="s">
        <v>58</v>
      </c>
      <c r="B1187" t="s">
        <v>58</v>
      </c>
      <c r="C1187" t="s">
        <v>34</v>
      </c>
      <c r="D1187" t="s">
        <v>25</v>
      </c>
      <c r="E1187" t="s">
        <v>19</v>
      </c>
      <c r="F1187" t="s">
        <v>19</v>
      </c>
      <c r="G1187" t="s">
        <v>19</v>
      </c>
      <c r="H1187" t="s">
        <v>19</v>
      </c>
      <c r="I1187" t="s">
        <v>19</v>
      </c>
      <c r="J1187" t="s">
        <v>145</v>
      </c>
      <c r="K1187" s="21" t="s">
        <v>607</v>
      </c>
      <c r="L1187" s="5" t="s">
        <v>19</v>
      </c>
      <c r="M1187" s="5" t="s">
        <v>19</v>
      </c>
      <c r="N1187" s="5" t="str">
        <f>HYPERLINK("http://www.lghausys.co.kr/popup/rn/download/downloadPopup.jsp?from=plwindow&amp;uu=/upload/window/REPORT/LGH-TA20-218.pdf","2.874")</f>
        <v>2.874</v>
      </c>
      <c r="O1187" s="5" t="s">
        <v>19</v>
      </c>
      <c r="P1187" s="5" t="s">
        <v>19</v>
      </c>
      <c r="Q1187" s="5" t="s">
        <v>19</v>
      </c>
      <c r="R1187" s="5" t="s">
        <v>19</v>
      </c>
      <c r="S1187" s="5" t="s">
        <v>19</v>
      </c>
      <c r="T1187" s="5" t="s">
        <v>19</v>
      </c>
      <c r="U1187" s="5" t="s">
        <v>19</v>
      </c>
      <c r="V1187" s="5" t="s">
        <v>19</v>
      </c>
      <c r="W1187" s="5" t="s">
        <v>75</v>
      </c>
      <c r="X1187"/>
    </row>
    <row r="1188" spans="1:24">
      <c r="A1188" t="s">
        <v>61</v>
      </c>
      <c r="B1188" t="s">
        <v>61</v>
      </c>
      <c r="C1188" t="s">
        <v>34</v>
      </c>
      <c r="D1188" t="s">
        <v>79</v>
      </c>
      <c r="E1188" t="s">
        <v>19</v>
      </c>
      <c r="F1188" t="s">
        <v>19</v>
      </c>
      <c r="G1188" t="s">
        <v>19</v>
      </c>
      <c r="H1188" t="s">
        <v>19</v>
      </c>
      <c r="I1188" t="s">
        <v>19</v>
      </c>
      <c r="J1188" t="s">
        <v>190</v>
      </c>
      <c r="K1188" s="21" t="s">
        <v>607</v>
      </c>
      <c r="L1188" s="5" t="s">
        <v>19</v>
      </c>
      <c r="M1188" s="5" t="s">
        <v>19</v>
      </c>
      <c r="N1188" s="5" t="str">
        <f>HYPERLINK("http://www.lghausys.co.kr/popup/rn/download/downloadPopup.jsp?from=plwindow&amp;uu=/upload/window/REPORT/LGH-TA20-219.pdf","5.348")</f>
        <v>5.348</v>
      </c>
      <c r="O1188" s="5" t="s">
        <v>19</v>
      </c>
      <c r="P1188" s="5" t="s">
        <v>19</v>
      </c>
      <c r="Q1188" s="5" t="s">
        <v>19</v>
      </c>
      <c r="R1188" s="5" t="s">
        <v>19</v>
      </c>
      <c r="S1188" s="5" t="s">
        <v>19</v>
      </c>
      <c r="T1188" s="5" t="s">
        <v>19</v>
      </c>
      <c r="U1188" s="5" t="s">
        <v>19</v>
      </c>
      <c r="V1188" s="5" t="s">
        <v>19</v>
      </c>
      <c r="W1188" s="5" t="s">
        <v>75</v>
      </c>
      <c r="X1188"/>
    </row>
    <row r="1189" spans="1:24">
      <c r="A1189" t="s">
        <v>61</v>
      </c>
      <c r="B1189" t="s">
        <v>61</v>
      </c>
      <c r="C1189" t="s">
        <v>34</v>
      </c>
      <c r="D1189" t="s">
        <v>25</v>
      </c>
      <c r="E1189" t="s">
        <v>19</v>
      </c>
      <c r="F1189" t="s">
        <v>19</v>
      </c>
      <c r="G1189" t="s">
        <v>19</v>
      </c>
      <c r="H1189" t="s">
        <v>19</v>
      </c>
      <c r="I1189" t="s">
        <v>19</v>
      </c>
      <c r="J1189" t="s">
        <v>145</v>
      </c>
      <c r="K1189" s="21" t="s">
        <v>607</v>
      </c>
      <c r="L1189" s="5" t="s">
        <v>19</v>
      </c>
      <c r="M1189" s="5" t="s">
        <v>19</v>
      </c>
      <c r="N1189" s="5" t="str">
        <f>HYPERLINK("http://www.lghausys.co.kr/popup/rn/download/downloadPopup.jsp?from=plwindow&amp;uu=/upload/window/REPORT/LGH-TA20-220.pdf","2.849")</f>
        <v>2.849</v>
      </c>
      <c r="O1189" s="5" t="s">
        <v>19</v>
      </c>
      <c r="P1189" s="5" t="s">
        <v>19</v>
      </c>
      <c r="Q1189" s="5" t="s">
        <v>19</v>
      </c>
      <c r="R1189" s="5" t="s">
        <v>19</v>
      </c>
      <c r="S1189" s="5" t="s">
        <v>19</v>
      </c>
      <c r="T1189" s="5" t="s">
        <v>19</v>
      </c>
      <c r="U1189" s="5" t="s">
        <v>19</v>
      </c>
      <c r="V1189" s="5" t="s">
        <v>19</v>
      </c>
      <c r="W1189" s="5" t="s">
        <v>75</v>
      </c>
      <c r="X1189"/>
    </row>
    <row r="1190" spans="1:24">
      <c r="A1190" t="s">
        <v>61</v>
      </c>
      <c r="B1190" t="s">
        <v>61</v>
      </c>
      <c r="C1190" t="s">
        <v>263</v>
      </c>
      <c r="D1190" t="s">
        <v>19</v>
      </c>
      <c r="E1190" t="s">
        <v>19</v>
      </c>
      <c r="F1190" t="s">
        <v>19</v>
      </c>
      <c r="G1190" t="s">
        <v>19</v>
      </c>
      <c r="H1190" t="s">
        <v>19</v>
      </c>
      <c r="I1190" t="s">
        <v>19</v>
      </c>
      <c r="J1190" t="s">
        <v>19</v>
      </c>
      <c r="K1190" s="21" t="s">
        <v>607</v>
      </c>
      <c r="L1190" s="5" t="s">
        <v>19</v>
      </c>
      <c r="M1190" s="5" t="s">
        <v>19</v>
      </c>
      <c r="N1190" s="5" t="s">
        <v>19</v>
      </c>
      <c r="O1190" s="5" t="s">
        <v>19</v>
      </c>
      <c r="P1190" s="5" t="s">
        <v>19</v>
      </c>
      <c r="Q1190" s="5" t="s">
        <v>19</v>
      </c>
      <c r="R1190" s="5" t="s">
        <v>19</v>
      </c>
      <c r="S1190" s="5" t="s">
        <v>19</v>
      </c>
      <c r="T1190" s="5" t="s">
        <v>19</v>
      </c>
      <c r="U1190" s="5" t="s">
        <v>19</v>
      </c>
      <c r="V1190" s="5" t="str">
        <f>HYPERLINK("http://www.lghausys.co.kr/popup/rn/download/downloadPopup.jsp?from=plwindow&amp;uu=/upload/window/REPORT/CT20-058384K.pdf","PASS")</f>
        <v>PASS</v>
      </c>
      <c r="W1190" s="5" t="s">
        <v>19</v>
      </c>
      <c r="X1190"/>
    </row>
    <row r="1191" spans="1:24">
      <c r="A1191" t="s">
        <v>58</v>
      </c>
      <c r="B1191" t="s">
        <v>58</v>
      </c>
      <c r="C1191" t="s">
        <v>263</v>
      </c>
      <c r="D1191" t="s">
        <v>19</v>
      </c>
      <c r="E1191" t="s">
        <v>19</v>
      </c>
      <c r="F1191" t="s">
        <v>19</v>
      </c>
      <c r="G1191" t="s">
        <v>19</v>
      </c>
      <c r="H1191" t="s">
        <v>19</v>
      </c>
      <c r="I1191" t="s">
        <v>19</v>
      </c>
      <c r="J1191" t="s">
        <v>19</v>
      </c>
      <c r="K1191" s="21" t="s">
        <v>607</v>
      </c>
      <c r="L1191" s="5" t="s">
        <v>19</v>
      </c>
      <c r="M1191" s="5" t="s">
        <v>19</v>
      </c>
      <c r="N1191" s="5" t="s">
        <v>19</v>
      </c>
      <c r="O1191" s="5" t="s">
        <v>19</v>
      </c>
      <c r="P1191" s="5" t="s">
        <v>19</v>
      </c>
      <c r="Q1191" s="5" t="s">
        <v>19</v>
      </c>
      <c r="R1191" s="5" t="s">
        <v>19</v>
      </c>
      <c r="S1191" s="5" t="s">
        <v>19</v>
      </c>
      <c r="T1191" s="5" t="s">
        <v>19</v>
      </c>
      <c r="U1191" s="5" t="s">
        <v>19</v>
      </c>
      <c r="V1191" s="5" t="str">
        <f>HYPERLINK("http://www.lghausys.co.kr/popup/rn/download/downloadPopup.jsp?from=plwindow&amp;uu=/upload/window/REPORT/CT20-058386K.pdf","PASS")</f>
        <v>PASS</v>
      </c>
      <c r="W1191" s="5" t="s">
        <v>19</v>
      </c>
      <c r="X1191"/>
    </row>
    <row r="1192" spans="1:24">
      <c r="A1192" t="s">
        <v>135</v>
      </c>
      <c r="B1192" t="s">
        <v>135</v>
      </c>
      <c r="C1192" t="s">
        <v>263</v>
      </c>
      <c r="D1192" t="s">
        <v>19</v>
      </c>
      <c r="E1192" t="s">
        <v>19</v>
      </c>
      <c r="F1192" t="s">
        <v>19</v>
      </c>
      <c r="G1192" t="s">
        <v>19</v>
      </c>
      <c r="H1192" t="s">
        <v>19</v>
      </c>
      <c r="I1192" t="s">
        <v>19</v>
      </c>
      <c r="J1192" t="s">
        <v>19</v>
      </c>
      <c r="K1192" s="21" t="s">
        <v>607</v>
      </c>
      <c r="L1192" s="5" t="s">
        <v>19</v>
      </c>
      <c r="M1192" s="5" t="s">
        <v>19</v>
      </c>
      <c r="N1192" s="5" t="s">
        <v>19</v>
      </c>
      <c r="O1192" s="5" t="s">
        <v>19</v>
      </c>
      <c r="P1192" s="5" t="s">
        <v>19</v>
      </c>
      <c r="Q1192" s="5" t="s">
        <v>19</v>
      </c>
      <c r="R1192" s="5" t="s">
        <v>19</v>
      </c>
      <c r="S1192" s="5" t="s">
        <v>19</v>
      </c>
      <c r="T1192" s="5" t="s">
        <v>19</v>
      </c>
      <c r="U1192" s="5" t="s">
        <v>19</v>
      </c>
      <c r="V1192" s="5" t="str">
        <f>HYPERLINK("http://www.lghausys.co.kr/popup/rn/download/downloadPopup.jsp?from=plwindow&amp;uu=/upload/window/REPORT/CT20-058387K.pdf","PASS")</f>
        <v>PASS</v>
      </c>
      <c r="W1192" s="5" t="s">
        <v>19</v>
      </c>
      <c r="X1192"/>
    </row>
    <row r="1193" spans="1:24">
      <c r="A1193" t="s">
        <v>136</v>
      </c>
      <c r="B1193" t="s">
        <v>136</v>
      </c>
      <c r="C1193" t="s">
        <v>263</v>
      </c>
      <c r="D1193" t="s">
        <v>19</v>
      </c>
      <c r="E1193" t="s">
        <v>19</v>
      </c>
      <c r="F1193" t="s">
        <v>19</v>
      </c>
      <c r="G1193" t="s">
        <v>19</v>
      </c>
      <c r="H1193" t="s">
        <v>19</v>
      </c>
      <c r="I1193" t="s">
        <v>19</v>
      </c>
      <c r="J1193" t="s">
        <v>19</v>
      </c>
      <c r="K1193" s="21" t="s">
        <v>607</v>
      </c>
      <c r="L1193" s="5" t="s">
        <v>19</v>
      </c>
      <c r="M1193" s="5" t="s">
        <v>19</v>
      </c>
      <c r="N1193" s="5" t="s">
        <v>19</v>
      </c>
      <c r="O1193" s="5" t="s">
        <v>19</v>
      </c>
      <c r="P1193" s="5" t="s">
        <v>19</v>
      </c>
      <c r="Q1193" s="5" t="s">
        <v>19</v>
      </c>
      <c r="R1193" s="5" t="s">
        <v>19</v>
      </c>
      <c r="S1193" s="5" t="s">
        <v>19</v>
      </c>
      <c r="T1193" s="5" t="s">
        <v>19</v>
      </c>
      <c r="U1193" s="5" t="s">
        <v>19</v>
      </c>
      <c r="V1193" s="5" t="str">
        <f>HYPERLINK("http://www.lghausys.co.kr/popup/rn/download/downloadPopup.jsp?from=plwindow&amp;uu=/upload/window/REPORT/CT20-058388K.pdf","PASS")</f>
        <v>PASS</v>
      </c>
      <c r="W1193" s="5" t="s">
        <v>19</v>
      </c>
      <c r="X1193"/>
    </row>
    <row r="1194" spans="1:24">
      <c r="A1194" t="s">
        <v>459</v>
      </c>
      <c r="B1194" t="s">
        <v>459</v>
      </c>
      <c r="C1194" t="s">
        <v>24</v>
      </c>
      <c r="D1194" t="s">
        <v>204</v>
      </c>
      <c r="E1194" t="s">
        <v>19</v>
      </c>
      <c r="F1194" t="s">
        <v>25</v>
      </c>
      <c r="G1194" t="s">
        <v>182</v>
      </c>
      <c r="H1194" t="s">
        <v>28</v>
      </c>
      <c r="I1194" t="s">
        <v>19</v>
      </c>
      <c r="J1194" t="s">
        <v>190</v>
      </c>
      <c r="K1194" s="21" t="s">
        <v>607</v>
      </c>
      <c r="L1194" s="5" t="s">
        <v>19</v>
      </c>
      <c r="M1194" s="5" t="s">
        <v>19</v>
      </c>
      <c r="N1194" s="5" t="s">
        <v>19</v>
      </c>
      <c r="O1194" s="5" t="s">
        <v>19</v>
      </c>
      <c r="P1194" s="5" t="s">
        <v>19</v>
      </c>
      <c r="Q1194" s="5" t="s">
        <v>19</v>
      </c>
      <c r="R1194" s="5" t="str">
        <f>HYPERLINK("http://www.lghausys.co.kr/popup/rn/download/downloadPopup.jsp?from=plwindow&amp;uu=/upload/window/REPORT/CT20-042716K.pdf","45")</f>
        <v>45</v>
      </c>
      <c r="S1194" s="5" t="s">
        <v>19</v>
      </c>
      <c r="T1194" s="5" t="s">
        <v>19</v>
      </c>
      <c r="U1194" s="5" t="s">
        <v>19</v>
      </c>
      <c r="V1194" s="5" t="s">
        <v>19</v>
      </c>
      <c r="W1194" s="5" t="s">
        <v>75</v>
      </c>
      <c r="X1194"/>
    </row>
    <row r="1195" spans="1:24">
      <c r="A1195" t="s">
        <v>73</v>
      </c>
      <c r="B1195" t="s">
        <v>73</v>
      </c>
      <c r="C1195" t="s">
        <v>24</v>
      </c>
      <c r="D1195" t="s">
        <v>28</v>
      </c>
      <c r="E1195" t="s">
        <v>19</v>
      </c>
      <c r="F1195" t="s">
        <v>19</v>
      </c>
      <c r="G1195" t="s">
        <v>19</v>
      </c>
      <c r="H1195" t="s">
        <v>25</v>
      </c>
      <c r="I1195" t="s">
        <v>19</v>
      </c>
      <c r="J1195" t="s">
        <v>460</v>
      </c>
      <c r="K1195" s="21" t="s">
        <v>607</v>
      </c>
      <c r="L1195" s="5" t="s">
        <v>19</v>
      </c>
      <c r="M1195" s="5" t="s">
        <v>19</v>
      </c>
      <c r="N1195" s="5" t="s">
        <v>19</v>
      </c>
      <c r="O1195" s="5" t="s">
        <v>19</v>
      </c>
      <c r="P1195" s="5" t="s">
        <v>19</v>
      </c>
      <c r="Q1195" s="5" t="s">
        <v>19</v>
      </c>
      <c r="R1195" s="5" t="str">
        <f>HYPERLINK("http://www.lghausys.co.kr/popup/rn/download/downloadPopup.jsp?from=plwindow&amp;uu=/upload/window/REPORT/CT20-042717K.pdf","35")</f>
        <v>35</v>
      </c>
      <c r="S1195" s="5" t="s">
        <v>19</v>
      </c>
      <c r="T1195" s="5" t="s">
        <v>19</v>
      </c>
      <c r="U1195" s="5" t="s">
        <v>19</v>
      </c>
      <c r="V1195" s="5" t="s">
        <v>19</v>
      </c>
      <c r="W1195" s="5" t="s">
        <v>75</v>
      </c>
      <c r="X1195"/>
    </row>
    <row r="1196" spans="1:24">
      <c r="A1196" t="s">
        <v>73</v>
      </c>
      <c r="B1196" t="s">
        <v>73</v>
      </c>
      <c r="C1196" t="s">
        <v>15</v>
      </c>
      <c r="D1196" t="s">
        <v>28</v>
      </c>
      <c r="E1196" t="s">
        <v>19</v>
      </c>
      <c r="F1196" t="s">
        <v>19</v>
      </c>
      <c r="G1196" t="s">
        <v>19</v>
      </c>
      <c r="H1196" t="s">
        <v>25</v>
      </c>
      <c r="I1196" t="s">
        <v>19</v>
      </c>
      <c r="J1196" t="s">
        <v>97</v>
      </c>
      <c r="K1196" s="21" t="s">
        <v>607</v>
      </c>
      <c r="L1196" s="5" t="s">
        <v>19</v>
      </c>
      <c r="M1196" s="5" t="s">
        <v>19</v>
      </c>
      <c r="N1196" s="5" t="s">
        <v>19</v>
      </c>
      <c r="O1196" s="5" t="s">
        <v>19</v>
      </c>
      <c r="P1196" s="5" t="s">
        <v>19</v>
      </c>
      <c r="Q1196" s="5" t="s">
        <v>19</v>
      </c>
      <c r="R1196" s="5" t="s">
        <v>19</v>
      </c>
      <c r="S1196" s="5" t="s">
        <v>19</v>
      </c>
      <c r="T1196" s="5" t="s">
        <v>19</v>
      </c>
      <c r="U1196" s="5" t="str">
        <f>HYPERLINK("http://www.lghausys.co.kr/popup/rn/download/downloadPopup.jsp?from=plwindow&amp;uu=/upload/window/REPORT/LGH-DA20-043.pdf","결로발생없음")</f>
        <v>결로발생없음</v>
      </c>
      <c r="V1196" s="5" t="s">
        <v>19</v>
      </c>
      <c r="W1196" s="5" t="s">
        <v>75</v>
      </c>
      <c r="X1196"/>
    </row>
    <row r="1197" spans="1:24">
      <c r="A1197" t="s">
        <v>61</v>
      </c>
      <c r="B1197" t="s">
        <v>61</v>
      </c>
      <c r="C1197" t="s">
        <v>34</v>
      </c>
      <c r="D1197" t="s">
        <v>165</v>
      </c>
      <c r="E1197" t="s">
        <v>19</v>
      </c>
      <c r="F1197" t="s">
        <v>19</v>
      </c>
      <c r="G1197" t="s">
        <v>19</v>
      </c>
      <c r="H1197" t="s">
        <v>19</v>
      </c>
      <c r="I1197" t="s">
        <v>19</v>
      </c>
      <c r="J1197" t="s">
        <v>74</v>
      </c>
      <c r="K1197" s="21" t="s">
        <v>607</v>
      </c>
      <c r="L1197" s="5" t="s">
        <v>19</v>
      </c>
      <c r="M1197" s="5" t="s">
        <v>19</v>
      </c>
      <c r="N1197" s="5" t="str">
        <f>HYPERLINK("http://www.lghausys.co.kr/popup/rn/download/downloadPopup.jsp?from=plwindow&amp;uu=/upload/window/REPORT/LGH-TA20-225.pdf","2.283")</f>
        <v>2.283</v>
      </c>
      <c r="O1197" s="5" t="s">
        <v>19</v>
      </c>
      <c r="P1197" s="5" t="s">
        <v>19</v>
      </c>
      <c r="Q1197" s="5" t="s">
        <v>19</v>
      </c>
      <c r="R1197" s="5" t="s">
        <v>19</v>
      </c>
      <c r="S1197" s="5" t="s">
        <v>19</v>
      </c>
      <c r="T1197" s="5" t="s">
        <v>19</v>
      </c>
      <c r="U1197" s="5" t="s">
        <v>19</v>
      </c>
      <c r="V1197" s="5" t="s">
        <v>19</v>
      </c>
      <c r="W1197" s="5" t="s">
        <v>75</v>
      </c>
      <c r="X1197"/>
    </row>
    <row r="1198" spans="1:24">
      <c r="A1198" t="s">
        <v>100</v>
      </c>
      <c r="B1198" t="s">
        <v>100</v>
      </c>
      <c r="C1198" t="s">
        <v>34</v>
      </c>
      <c r="D1198" t="s">
        <v>41</v>
      </c>
      <c r="E1198" t="s">
        <v>19</v>
      </c>
      <c r="F1198" t="s">
        <v>19</v>
      </c>
      <c r="G1198" t="s">
        <v>19</v>
      </c>
      <c r="H1198" t="s">
        <v>41</v>
      </c>
      <c r="I1198" t="s">
        <v>19</v>
      </c>
      <c r="J1198" t="s">
        <v>74</v>
      </c>
      <c r="K1198" s="21" t="s">
        <v>607</v>
      </c>
      <c r="L1198" s="5" t="s">
        <v>19</v>
      </c>
      <c r="M1198" s="5" t="s">
        <v>19</v>
      </c>
      <c r="N1198" s="5" t="str">
        <f>HYPERLINK("http://www.lghausys.co.kr/popup/rn/download/downloadPopup.jsp?from=plwindow&amp;uu=/upload/window/REPORT/LGH-TA20-226.pdf","1.403")</f>
        <v>1.403</v>
      </c>
      <c r="O1198" s="5" t="s">
        <v>19</v>
      </c>
      <c r="P1198" s="5" t="s">
        <v>19</v>
      </c>
      <c r="Q1198" s="5" t="s">
        <v>19</v>
      </c>
      <c r="R1198" s="5" t="s">
        <v>19</v>
      </c>
      <c r="S1198" s="5" t="s">
        <v>19</v>
      </c>
      <c r="T1198" s="5" t="s">
        <v>19</v>
      </c>
      <c r="U1198" s="5" t="s">
        <v>19</v>
      </c>
      <c r="V1198" s="5" t="s">
        <v>19</v>
      </c>
      <c r="W1198" s="5" t="s">
        <v>75</v>
      </c>
      <c r="X1198"/>
    </row>
    <row r="1199" spans="1:24">
      <c r="A1199" t="s">
        <v>73</v>
      </c>
      <c r="B1199" t="s">
        <v>73</v>
      </c>
      <c r="C1199" t="s">
        <v>15</v>
      </c>
      <c r="D1199" t="s">
        <v>25</v>
      </c>
      <c r="E1199" t="s">
        <v>19</v>
      </c>
      <c r="F1199" t="s">
        <v>19</v>
      </c>
      <c r="G1199" t="s">
        <v>19</v>
      </c>
      <c r="H1199" t="s">
        <v>28</v>
      </c>
      <c r="I1199" t="s">
        <v>19</v>
      </c>
      <c r="J1199" t="s">
        <v>74</v>
      </c>
      <c r="K1199" s="21" t="s">
        <v>607</v>
      </c>
      <c r="L1199" s="5" t="s">
        <v>19</v>
      </c>
      <c r="M1199" s="5" t="s">
        <v>19</v>
      </c>
      <c r="N1199" s="5" t="s">
        <v>19</v>
      </c>
      <c r="O1199" s="5" t="s">
        <v>19</v>
      </c>
      <c r="P1199" s="5" t="s">
        <v>19</v>
      </c>
      <c r="Q1199" s="5" t="s">
        <v>19</v>
      </c>
      <c r="R1199" s="5" t="s">
        <v>19</v>
      </c>
      <c r="S1199" s="5" t="s">
        <v>19</v>
      </c>
      <c r="T1199" s="5" t="s">
        <v>19</v>
      </c>
      <c r="U1199" s="5" t="str">
        <f>HYPERLINK("http://www.lghausys.co.kr/popup/rn/download/downloadPopup.jsp?from=plwindow&amp;uu=/upload/window/REPORT/LGH-DA20-044.pdf","결로발생없음")</f>
        <v>결로발생없음</v>
      </c>
      <c r="V1199" s="5" t="s">
        <v>19</v>
      </c>
      <c r="W1199" s="5" t="s">
        <v>75</v>
      </c>
      <c r="X1199"/>
    </row>
    <row r="1200" spans="1:24">
      <c r="A1200" t="s">
        <v>441</v>
      </c>
      <c r="B1200" t="s">
        <v>441</v>
      </c>
      <c r="C1200" t="s">
        <v>20</v>
      </c>
      <c r="D1200" t="s">
        <v>432</v>
      </c>
      <c r="E1200" t="s">
        <v>19</v>
      </c>
      <c r="F1200" t="s">
        <v>19</v>
      </c>
      <c r="G1200" t="s">
        <v>19</v>
      </c>
      <c r="H1200" t="s">
        <v>19</v>
      </c>
      <c r="I1200" t="s">
        <v>19</v>
      </c>
      <c r="J1200" t="s">
        <v>286</v>
      </c>
      <c r="K1200" s="21" t="str">
        <f>IF(X1200&lt;=0.9,HYPERLINK("http://www.lxhausys.co.kr/popup/rn/download/downloadPopup.jsp?from=plwindow&amp;uu=/upload/window/REPORT/LGH-TW20-043.pdf","1등급"),IF(X1200&lt;=1.2,HYPERLINK("http://www.lxhausys.co.kr/popup/rn/download/downloadPopup.jsp?from=plwindow&amp;uu=/upload/window/REPORT/LGH-TW20-043.pdf","2등급"),IF(X1200&lt;=1.8,HYPERLINK("http://www.lxhausys.co.kr/popup/rn/download/downloadPopup.jsp?from=plwindow&amp;uu=/upload/window/REPORT/LGH-TW20-043.pdf","3등급"),IF(X1200&lt;=2.3,HYPERLINK("http://www.lxhausys.co.kr/popup/rn/download/downloadPopup.jsp?from=plwindow&amp;uu=/upload/window/REPORT/LGH-TW20-043.pdf","4등급"),IF(X1200&lt;=2.8,HYPERLINK("http://www.lxhausys.co.kr/popup/rn/download/downloadPopup.jsp?from=plwindow&amp;uu=/upload/window/REPORT/LGH-TW20-043.pdf","5등급"),HYPERLINK("http://www.lxhausys.co.kr/popup/rn/download/downloadPopup.jsp?from=plwindow&amp;uu=/upload/window/REPORT/LGH-TW20-043.pdf","등급외"))))))</f>
        <v>1등급</v>
      </c>
      <c r="L1200" s="5">
        <v>0.88700000000000001</v>
      </c>
      <c r="M1200" s="5" t="s">
        <v>22</v>
      </c>
      <c r="N1200" s="5" t="s">
        <v>607</v>
      </c>
      <c r="O1200" s="5" t="s">
        <v>19</v>
      </c>
      <c r="P1200" s="5" t="s">
        <v>19</v>
      </c>
      <c r="Q1200" s="5" t="s">
        <v>19</v>
      </c>
      <c r="R1200" s="5" t="s">
        <v>19</v>
      </c>
      <c r="S1200" s="5" t="s">
        <v>19</v>
      </c>
      <c r="T1200" s="5" t="s">
        <v>19</v>
      </c>
      <c r="U1200" s="5" t="s">
        <v>19</v>
      </c>
      <c r="V1200" s="5" t="s">
        <v>19</v>
      </c>
      <c r="W1200" s="5" t="s">
        <v>19</v>
      </c>
      <c r="X1200" s="19">
        <f t="shared" ref="X1200:X1209" si="13">L1200</f>
        <v>0.88700000000000001</v>
      </c>
    </row>
    <row r="1201" spans="1:24">
      <c r="A1201" t="s">
        <v>449</v>
      </c>
      <c r="B1201" t="s">
        <v>449</v>
      </c>
      <c r="C1201" t="s">
        <v>20</v>
      </c>
      <c r="D1201" t="s">
        <v>432</v>
      </c>
      <c r="E1201" t="s">
        <v>19</v>
      </c>
      <c r="F1201" t="s">
        <v>19</v>
      </c>
      <c r="G1201" t="s">
        <v>19</v>
      </c>
      <c r="H1201" t="s">
        <v>19</v>
      </c>
      <c r="I1201" t="s">
        <v>19</v>
      </c>
      <c r="J1201" t="s">
        <v>286</v>
      </c>
      <c r="K1201" s="21" t="str">
        <f>IF(X1201&lt;=0.9,HYPERLINK("http://www.lxhausys.co.kr/popup/rn/download/downloadPopup.jsp?from=plwindow&amp;uu=/upload/window/REPORT/LGH-TW20-044.pdf","1등급"),IF(X1201&lt;=1.2,HYPERLINK("http://www.lxhausys.co.kr/popup/rn/download/downloadPopup.jsp?from=plwindow&amp;uu=/upload/window/REPORT/LGH-TW20-044.pdf","2등급"),IF(X1201&lt;=1.8,HYPERLINK("http://www.lxhausys.co.kr/popup/rn/download/downloadPopup.jsp?from=plwindow&amp;uu=/upload/window/REPORT/LGH-TW20-044.pdf","3등급"),IF(X1201&lt;=2.3,HYPERLINK("http://www.lxhausys.co.kr/popup/rn/download/downloadPopup.jsp?from=plwindow&amp;uu=/upload/window/REPORT/LGH-TW20-044.pdf","4등급"),IF(X1201&lt;=2.8,HYPERLINK("http://www.lxhausys.co.kr/popup/rn/download/downloadPopup.jsp?from=plwindow&amp;uu=/upload/window/REPORT/LGH-TW20-044.pdf","5등급"),HYPERLINK("http://www.lxhausys.co.kr/popup/rn/download/downloadPopup.jsp?from=plwindow&amp;uu=/upload/window/REPORT/LGH-TW20-044.pdf","등급외"))))))</f>
        <v>1등급</v>
      </c>
      <c r="L1201" s="5">
        <v>0.82099999999999995</v>
      </c>
      <c r="M1201" s="5" t="s">
        <v>22</v>
      </c>
      <c r="N1201" s="5" t="s">
        <v>607</v>
      </c>
      <c r="O1201" s="5" t="s">
        <v>19</v>
      </c>
      <c r="P1201" s="5" t="s">
        <v>19</v>
      </c>
      <c r="Q1201" s="5" t="s">
        <v>19</v>
      </c>
      <c r="R1201" s="5" t="s">
        <v>19</v>
      </c>
      <c r="S1201" s="5" t="s">
        <v>19</v>
      </c>
      <c r="T1201" s="5" t="s">
        <v>19</v>
      </c>
      <c r="U1201" s="5" t="s">
        <v>19</v>
      </c>
      <c r="V1201" s="5" t="s">
        <v>19</v>
      </c>
      <c r="W1201" s="5" t="s">
        <v>19</v>
      </c>
      <c r="X1201" s="19">
        <f t="shared" si="13"/>
        <v>0.82099999999999995</v>
      </c>
    </row>
    <row r="1202" spans="1:24">
      <c r="A1202" t="s">
        <v>461</v>
      </c>
      <c r="B1202" t="s">
        <v>461</v>
      </c>
      <c r="C1202" t="s">
        <v>20</v>
      </c>
      <c r="D1202" t="s">
        <v>432</v>
      </c>
      <c r="E1202" t="s">
        <v>19</v>
      </c>
      <c r="F1202" t="s">
        <v>19</v>
      </c>
      <c r="G1202" t="s">
        <v>19</v>
      </c>
      <c r="H1202" t="s">
        <v>19</v>
      </c>
      <c r="I1202" t="s">
        <v>19</v>
      </c>
      <c r="J1202" t="s">
        <v>286</v>
      </c>
      <c r="K1202" s="21" t="str">
        <f>IF(X1202&lt;=0.9,HYPERLINK("http://www.lxhausys.co.kr/popup/rn/download/downloadPopup.jsp?from=plwindow&amp;uu=/upload/window/REPORT/LGH-TW20-045.pdf","1등급"),IF(X1202&lt;=1.2,HYPERLINK("http://www.lxhausys.co.kr/popup/rn/download/downloadPopup.jsp?from=plwindow&amp;uu=/upload/window/REPORT/LGH-TW20-045.pdf","2등급"),IF(X1202&lt;=1.8,HYPERLINK("http://www.lxhausys.co.kr/popup/rn/download/downloadPopup.jsp?from=plwindow&amp;uu=/upload/window/REPORT/LGH-TW20-045.pdf","3등급"),IF(X1202&lt;=2.3,HYPERLINK("http://www.lxhausys.co.kr/popup/rn/download/downloadPopup.jsp?from=plwindow&amp;uu=/upload/window/REPORT/LGH-TW20-045.pdf","4등급"),IF(X1202&lt;=2.8,HYPERLINK("http://www.lxhausys.co.kr/popup/rn/download/downloadPopup.jsp?from=plwindow&amp;uu=/upload/window/REPORT/LGH-TW20-045.pdf","5등급"),HYPERLINK("http://www.lxhausys.co.kr/popup/rn/download/downloadPopup.jsp?from=plwindow&amp;uu=/upload/window/REPORT/LGH-TW20-045.pdf","등급외"))))))</f>
        <v>3등급</v>
      </c>
      <c r="L1202" s="5">
        <v>1.2150000000000001</v>
      </c>
      <c r="M1202" s="5" t="s">
        <v>22</v>
      </c>
      <c r="N1202" s="5" t="s">
        <v>607</v>
      </c>
      <c r="O1202" s="5" t="s">
        <v>19</v>
      </c>
      <c r="P1202" s="5" t="s">
        <v>19</v>
      </c>
      <c r="Q1202" s="5" t="s">
        <v>19</v>
      </c>
      <c r="R1202" s="5" t="s">
        <v>19</v>
      </c>
      <c r="S1202" s="5" t="s">
        <v>19</v>
      </c>
      <c r="T1202" s="5" t="s">
        <v>19</v>
      </c>
      <c r="U1202" s="5" t="s">
        <v>19</v>
      </c>
      <c r="V1202" s="5" t="s">
        <v>19</v>
      </c>
      <c r="W1202" s="5" t="s">
        <v>19</v>
      </c>
      <c r="X1202" s="19">
        <f t="shared" si="13"/>
        <v>1.2150000000000001</v>
      </c>
    </row>
    <row r="1203" spans="1:24">
      <c r="A1203" t="s">
        <v>462</v>
      </c>
      <c r="B1203" t="s">
        <v>462</v>
      </c>
      <c r="C1203" t="s">
        <v>20</v>
      </c>
      <c r="D1203" t="s">
        <v>432</v>
      </c>
      <c r="E1203" t="s">
        <v>19</v>
      </c>
      <c r="F1203" t="s">
        <v>19</v>
      </c>
      <c r="G1203" t="s">
        <v>19</v>
      </c>
      <c r="H1203" t="s">
        <v>19</v>
      </c>
      <c r="I1203" t="s">
        <v>19</v>
      </c>
      <c r="J1203" t="s">
        <v>286</v>
      </c>
      <c r="K1203" s="21" t="str">
        <f>IF(X1203&lt;=0.9,HYPERLINK("http://www.lxhausys.co.kr/popup/rn/download/downloadPopup.jsp?from=plwindow&amp;uu=/upload/window/REPORT/LGH-TW20-046.pdf","1등급"),IF(X1203&lt;=1.2,HYPERLINK("http://www.lxhausys.co.kr/popup/rn/download/downloadPopup.jsp?from=plwindow&amp;uu=/upload/window/REPORT/LGH-TW20-046.pdf","2등급"),IF(X1203&lt;=1.8,HYPERLINK("http://www.lxhausys.co.kr/popup/rn/download/downloadPopup.jsp?from=plwindow&amp;uu=/upload/window/REPORT/LGH-TW20-046.pdf","3등급"),IF(X1203&lt;=2.3,HYPERLINK("http://www.lxhausys.co.kr/popup/rn/download/downloadPopup.jsp?from=plwindow&amp;uu=/upload/window/REPORT/LGH-TW20-046.pdf","4등급"),IF(X1203&lt;=2.8,HYPERLINK("http://www.lxhausys.co.kr/popup/rn/download/downloadPopup.jsp?from=plwindow&amp;uu=/upload/window/REPORT/LGH-TW20-046.pdf","5등급"),HYPERLINK("http://www.lxhausys.co.kr/popup/rn/download/downloadPopup.jsp?from=plwindow&amp;uu=/upload/window/REPORT/LGH-TW20-046.pdf","등급외"))))))</f>
        <v>1등급</v>
      </c>
      <c r="L1203" s="5">
        <v>0.87400000000000011</v>
      </c>
      <c r="M1203" s="5" t="s">
        <v>22</v>
      </c>
      <c r="N1203" s="5" t="s">
        <v>607</v>
      </c>
      <c r="O1203" s="5" t="s">
        <v>19</v>
      </c>
      <c r="P1203" s="5" t="s">
        <v>19</v>
      </c>
      <c r="Q1203" s="5" t="s">
        <v>19</v>
      </c>
      <c r="R1203" s="5" t="s">
        <v>19</v>
      </c>
      <c r="S1203" s="5" t="s">
        <v>19</v>
      </c>
      <c r="T1203" s="5" t="s">
        <v>19</v>
      </c>
      <c r="U1203" s="5" t="s">
        <v>19</v>
      </c>
      <c r="V1203" s="5" t="s">
        <v>19</v>
      </c>
      <c r="W1203" s="5" t="s">
        <v>19</v>
      </c>
      <c r="X1203" s="19">
        <f t="shared" si="13"/>
        <v>0.87400000000000011</v>
      </c>
    </row>
    <row r="1204" spans="1:24">
      <c r="A1204" t="s">
        <v>463</v>
      </c>
      <c r="B1204" t="s">
        <v>463</v>
      </c>
      <c r="C1204" t="s">
        <v>20</v>
      </c>
      <c r="D1204" t="s">
        <v>432</v>
      </c>
      <c r="E1204" t="s">
        <v>19</v>
      </c>
      <c r="F1204" t="s">
        <v>19</v>
      </c>
      <c r="G1204" t="s">
        <v>19</v>
      </c>
      <c r="H1204" t="s">
        <v>19</v>
      </c>
      <c r="I1204" t="s">
        <v>19</v>
      </c>
      <c r="J1204" t="s">
        <v>286</v>
      </c>
      <c r="K1204" s="21" t="str">
        <f>IF(X1204&lt;=0.9,HYPERLINK("http://www.lxhausys.co.kr/popup/rn/download/downloadPopup.jsp?from=plwindow&amp;uu=/upload/window/REPORT/LGH-TW20-047.pdf","1등급"),IF(X1204&lt;=1.2,HYPERLINK("http://www.lxhausys.co.kr/popup/rn/download/downloadPopup.jsp?from=plwindow&amp;uu=/upload/window/REPORT/LGH-TW20-047.pdf","2등급"),IF(X1204&lt;=1.8,HYPERLINK("http://www.lxhausys.co.kr/popup/rn/download/downloadPopup.jsp?from=plwindow&amp;uu=/upload/window/REPORT/LGH-TW20-047.pdf","3등급"),IF(X1204&lt;=2.3,HYPERLINK("http://www.lxhausys.co.kr/popup/rn/download/downloadPopup.jsp?from=plwindow&amp;uu=/upload/window/REPORT/LGH-TW20-047.pdf","4등급"),IF(X1204&lt;=2.8,HYPERLINK("http://www.lxhausys.co.kr/popup/rn/download/downloadPopup.jsp?from=plwindow&amp;uu=/upload/window/REPORT/LGH-TW20-047.pdf","5등급"),HYPERLINK("http://www.lxhausys.co.kr/popup/rn/download/downloadPopup.jsp?from=plwindow&amp;uu=/upload/window/REPORT/LGH-TW20-047.pdf","등급외"))))))</f>
        <v>3등급</v>
      </c>
      <c r="L1204" s="5">
        <v>1.2609999999999999</v>
      </c>
      <c r="M1204" s="5" t="s">
        <v>22</v>
      </c>
      <c r="N1204" s="5" t="s">
        <v>607</v>
      </c>
      <c r="O1204" s="5" t="s">
        <v>19</v>
      </c>
      <c r="P1204" s="5" t="s">
        <v>19</v>
      </c>
      <c r="Q1204" s="5" t="s">
        <v>19</v>
      </c>
      <c r="R1204" s="5" t="s">
        <v>19</v>
      </c>
      <c r="S1204" s="5" t="s">
        <v>19</v>
      </c>
      <c r="T1204" s="5" t="s">
        <v>19</v>
      </c>
      <c r="U1204" s="5" t="s">
        <v>19</v>
      </c>
      <c r="V1204" s="5" t="s">
        <v>19</v>
      </c>
      <c r="W1204" s="5" t="s">
        <v>19</v>
      </c>
      <c r="X1204" s="19">
        <f t="shared" si="13"/>
        <v>1.2609999999999999</v>
      </c>
    </row>
    <row r="1205" spans="1:24">
      <c r="A1205" t="s">
        <v>464</v>
      </c>
      <c r="B1205" t="s">
        <v>464</v>
      </c>
      <c r="C1205" t="s">
        <v>20</v>
      </c>
      <c r="D1205" t="s">
        <v>465</v>
      </c>
      <c r="E1205" t="s">
        <v>19</v>
      </c>
      <c r="F1205" t="s">
        <v>19</v>
      </c>
      <c r="G1205" t="s">
        <v>19</v>
      </c>
      <c r="H1205" t="s">
        <v>19</v>
      </c>
      <c r="I1205" t="s">
        <v>19</v>
      </c>
      <c r="J1205" t="s">
        <v>286</v>
      </c>
      <c r="K1205" s="21" t="str">
        <f>IF(X1205&lt;=0.9,HYPERLINK("http://www.lxhausys.co.kr/popup/rn/download/downloadPopup.jsp?from=plwindow&amp;uu=/upload/window/REPORT/LGH-TW20-048.pdf","1등급"),IF(X1205&lt;=1.2,HYPERLINK("http://www.lxhausys.co.kr/popup/rn/download/downloadPopup.jsp?from=plwindow&amp;uu=/upload/window/REPORT/LGH-TW20-048.pdf","2등급"),IF(X1205&lt;=1.8,HYPERLINK("http://www.lxhausys.co.kr/popup/rn/download/downloadPopup.jsp?from=plwindow&amp;uu=/upload/window/REPORT/LGH-TW20-048.pdf","3등급"),IF(X1205&lt;=2.3,HYPERLINK("http://www.lxhausys.co.kr/popup/rn/download/downloadPopup.jsp?from=plwindow&amp;uu=/upload/window/REPORT/LGH-TW20-048.pdf","4등급"),IF(X1205&lt;=2.8,HYPERLINK("http://www.lxhausys.co.kr/popup/rn/download/downloadPopup.jsp?from=plwindow&amp;uu=/upload/window/REPORT/LGH-TW20-048.pdf","5등급"),HYPERLINK("http://www.lxhausys.co.kr/popup/rn/download/downloadPopup.jsp?from=plwindow&amp;uu=/upload/window/REPORT/LGH-TW20-048.pdf","등급외"))))))</f>
        <v>4등급</v>
      </c>
      <c r="L1205" s="5">
        <v>1.976</v>
      </c>
      <c r="M1205" s="5" t="s">
        <v>22</v>
      </c>
      <c r="N1205" s="5" t="s">
        <v>607</v>
      </c>
      <c r="O1205" s="5" t="s">
        <v>19</v>
      </c>
      <c r="P1205" s="5" t="s">
        <v>19</v>
      </c>
      <c r="Q1205" s="5" t="s">
        <v>19</v>
      </c>
      <c r="R1205" s="5" t="s">
        <v>19</v>
      </c>
      <c r="S1205" s="5" t="s">
        <v>19</v>
      </c>
      <c r="T1205" s="5" t="s">
        <v>19</v>
      </c>
      <c r="U1205" s="5" t="s">
        <v>19</v>
      </c>
      <c r="V1205" s="5" t="s">
        <v>19</v>
      </c>
      <c r="W1205" s="5" t="s">
        <v>19</v>
      </c>
      <c r="X1205" s="19">
        <f t="shared" si="13"/>
        <v>1.976</v>
      </c>
    </row>
    <row r="1206" spans="1:24">
      <c r="A1206" t="s">
        <v>466</v>
      </c>
      <c r="B1206" t="s">
        <v>466</v>
      </c>
      <c r="C1206" t="s">
        <v>20</v>
      </c>
      <c r="D1206" t="s">
        <v>467</v>
      </c>
      <c r="E1206" t="s">
        <v>19</v>
      </c>
      <c r="F1206" t="s">
        <v>19</v>
      </c>
      <c r="G1206" t="s">
        <v>19</v>
      </c>
      <c r="H1206" t="s">
        <v>19</v>
      </c>
      <c r="I1206" t="s">
        <v>19</v>
      </c>
      <c r="J1206" t="s">
        <v>286</v>
      </c>
      <c r="K1206" s="21" t="str">
        <f>IF(X1206&lt;=0.9,HYPERLINK("http://www.lxhausys.co.kr/popup/rn/download/downloadPopup.jsp?from=plwindow&amp;uu=/upload/window/REPORT/LGH-TW20-049.pdf","1등급"),IF(X1206&lt;=1.2,HYPERLINK("http://www.lxhausys.co.kr/popup/rn/download/downloadPopup.jsp?from=plwindow&amp;uu=/upload/window/REPORT/LGH-TW20-049.pdf","2등급"),IF(X1206&lt;=1.8,HYPERLINK("http://www.lxhausys.co.kr/popup/rn/download/downloadPopup.jsp?from=plwindow&amp;uu=/upload/window/REPORT/LGH-TW20-049.pdf","3등급"),IF(X1206&lt;=2.3,HYPERLINK("http://www.lxhausys.co.kr/popup/rn/download/downloadPopup.jsp?from=plwindow&amp;uu=/upload/window/REPORT/LGH-TW20-049.pdf","4등급"),IF(X1206&lt;=2.8,HYPERLINK("http://www.lxhausys.co.kr/popup/rn/download/downloadPopup.jsp?from=plwindow&amp;uu=/upload/window/REPORT/LGH-TW20-049.pdf","5등급"),HYPERLINK("http://www.lxhausys.co.kr/popup/rn/download/downloadPopup.jsp?from=plwindow&amp;uu=/upload/window/REPORT/LGH-TW20-049.pdf","등급외"))))))</f>
        <v>2등급</v>
      </c>
      <c r="L1206" s="5">
        <v>1.0960000000000001</v>
      </c>
      <c r="M1206" s="5" t="s">
        <v>22</v>
      </c>
      <c r="N1206" s="5" t="s">
        <v>607</v>
      </c>
      <c r="O1206" s="5" t="s">
        <v>19</v>
      </c>
      <c r="P1206" s="5" t="s">
        <v>19</v>
      </c>
      <c r="Q1206" s="5" t="s">
        <v>19</v>
      </c>
      <c r="R1206" s="5" t="s">
        <v>19</v>
      </c>
      <c r="S1206" s="5" t="s">
        <v>19</v>
      </c>
      <c r="T1206" s="5" t="s">
        <v>19</v>
      </c>
      <c r="U1206" s="5" t="s">
        <v>19</v>
      </c>
      <c r="V1206" s="5" t="s">
        <v>19</v>
      </c>
      <c r="W1206" s="5" t="s">
        <v>19</v>
      </c>
      <c r="X1206" s="19">
        <f t="shared" si="13"/>
        <v>1.0960000000000001</v>
      </c>
    </row>
    <row r="1207" spans="1:24">
      <c r="A1207" t="s">
        <v>468</v>
      </c>
      <c r="B1207" t="s">
        <v>468</v>
      </c>
      <c r="C1207" t="s">
        <v>20</v>
      </c>
      <c r="D1207" t="s">
        <v>467</v>
      </c>
      <c r="E1207" t="s">
        <v>19</v>
      </c>
      <c r="F1207" t="s">
        <v>19</v>
      </c>
      <c r="G1207" t="s">
        <v>19</v>
      </c>
      <c r="H1207" t="s">
        <v>19</v>
      </c>
      <c r="I1207" t="s">
        <v>19</v>
      </c>
      <c r="J1207" t="s">
        <v>286</v>
      </c>
      <c r="K1207" s="21" t="str">
        <f>IF(X1207&lt;=0.9,HYPERLINK("http://www.lxhausys.co.kr/popup/rn/download/downloadPopup.jsp?from=plwindow&amp;uu=/upload/window/REPORT/LGH-TW20-050.pdf","1등급"),IF(X1207&lt;=1.2,HYPERLINK("http://www.lxhausys.co.kr/popup/rn/download/downloadPopup.jsp?from=plwindow&amp;uu=/upload/window/REPORT/LGH-TW20-050.pdf","2등급"),IF(X1207&lt;=1.8,HYPERLINK("http://www.lxhausys.co.kr/popup/rn/download/downloadPopup.jsp?from=plwindow&amp;uu=/upload/window/REPORT/LGH-TW20-050.pdf","3등급"),IF(X1207&lt;=2.3,HYPERLINK("http://www.lxhausys.co.kr/popup/rn/download/downloadPopup.jsp?from=plwindow&amp;uu=/upload/window/REPORT/LGH-TW20-050.pdf","4등급"),IF(X1207&lt;=2.8,HYPERLINK("http://www.lxhausys.co.kr/popup/rn/download/downloadPopup.jsp?from=plwindow&amp;uu=/upload/window/REPORT/LGH-TW20-050.pdf","5등급"),HYPERLINK("http://www.lxhausys.co.kr/popup/rn/download/downloadPopup.jsp?from=plwindow&amp;uu=/upload/window/REPORT/LGH-TW20-050.pdf","등급외"))))))</f>
        <v>2등급</v>
      </c>
      <c r="L1207" s="5">
        <v>0.98</v>
      </c>
      <c r="M1207" s="5" t="s">
        <v>22</v>
      </c>
      <c r="N1207" s="5" t="s">
        <v>607</v>
      </c>
      <c r="O1207" s="5" t="s">
        <v>19</v>
      </c>
      <c r="P1207" s="5" t="s">
        <v>19</v>
      </c>
      <c r="Q1207" s="5" t="s">
        <v>19</v>
      </c>
      <c r="R1207" s="5" t="s">
        <v>19</v>
      </c>
      <c r="S1207" s="5" t="s">
        <v>19</v>
      </c>
      <c r="T1207" s="5" t="s">
        <v>19</v>
      </c>
      <c r="U1207" s="5" t="s">
        <v>19</v>
      </c>
      <c r="V1207" s="5" t="s">
        <v>19</v>
      </c>
      <c r="W1207" s="5" t="s">
        <v>19</v>
      </c>
      <c r="X1207" s="19">
        <f t="shared" si="13"/>
        <v>0.98</v>
      </c>
    </row>
    <row r="1208" spans="1:24">
      <c r="A1208" t="s">
        <v>469</v>
      </c>
      <c r="B1208" t="s">
        <v>469</v>
      </c>
      <c r="C1208" t="s">
        <v>20</v>
      </c>
      <c r="D1208" t="s">
        <v>467</v>
      </c>
      <c r="E1208" t="s">
        <v>19</v>
      </c>
      <c r="F1208" t="s">
        <v>19</v>
      </c>
      <c r="G1208" t="s">
        <v>19</v>
      </c>
      <c r="H1208" t="s">
        <v>19</v>
      </c>
      <c r="I1208" t="s">
        <v>19</v>
      </c>
      <c r="J1208" t="s">
        <v>286</v>
      </c>
      <c r="K1208" s="21" t="str">
        <f>IF(X1208&lt;=0.9,HYPERLINK("http://www.lxhausys.co.kr/popup/rn/download/downloadPopup.jsp?from=plwindow&amp;uu=/upload/window/REPORT/LGH-TW20-051.pdf","1등급"),IF(X1208&lt;=1.2,HYPERLINK("http://www.lxhausys.co.kr/popup/rn/download/downloadPopup.jsp?from=plwindow&amp;uu=/upload/window/REPORT/LGH-TW20-051.pdf","2등급"),IF(X1208&lt;=1.8,HYPERLINK("http://www.lxhausys.co.kr/popup/rn/download/downloadPopup.jsp?from=plwindow&amp;uu=/upload/window/REPORT/LGH-TW20-051.pdf","3등급"),IF(X1208&lt;=2.3,HYPERLINK("http://www.lxhausys.co.kr/popup/rn/download/downloadPopup.jsp?from=plwindow&amp;uu=/upload/window/REPORT/LGH-TW20-051.pdf","4등급"),IF(X1208&lt;=2.8,HYPERLINK("http://www.lxhausys.co.kr/popup/rn/download/downloadPopup.jsp?from=plwindow&amp;uu=/upload/window/REPORT/LGH-TW20-051.pdf","5등급"),HYPERLINK("http://www.lxhausys.co.kr/popup/rn/download/downloadPopup.jsp?from=plwindow&amp;uu=/upload/window/REPORT/LGH-TW20-051.pdf","등급외"))))))</f>
        <v>2등급</v>
      </c>
      <c r="L1208" s="5">
        <v>0.98299999999999998</v>
      </c>
      <c r="M1208" s="5" t="s">
        <v>22</v>
      </c>
      <c r="N1208" s="5" t="s">
        <v>607</v>
      </c>
      <c r="O1208" s="5" t="s">
        <v>19</v>
      </c>
      <c r="P1208" s="5" t="s">
        <v>19</v>
      </c>
      <c r="Q1208" s="5" t="s">
        <v>19</v>
      </c>
      <c r="R1208" s="5" t="s">
        <v>19</v>
      </c>
      <c r="S1208" s="5" t="s">
        <v>19</v>
      </c>
      <c r="T1208" s="5" t="s">
        <v>19</v>
      </c>
      <c r="U1208" s="5" t="s">
        <v>19</v>
      </c>
      <c r="V1208" s="5" t="s">
        <v>19</v>
      </c>
      <c r="W1208" s="5" t="s">
        <v>19</v>
      </c>
      <c r="X1208" s="19">
        <f t="shared" si="13"/>
        <v>0.98299999999999998</v>
      </c>
    </row>
    <row r="1209" spans="1:24">
      <c r="A1209" t="s">
        <v>470</v>
      </c>
      <c r="B1209" t="s">
        <v>470</v>
      </c>
      <c r="C1209" t="s">
        <v>20</v>
      </c>
      <c r="D1209" t="s">
        <v>467</v>
      </c>
      <c r="E1209" t="s">
        <v>19</v>
      </c>
      <c r="F1209" t="s">
        <v>19</v>
      </c>
      <c r="G1209" t="s">
        <v>19</v>
      </c>
      <c r="H1209" t="s">
        <v>19</v>
      </c>
      <c r="I1209" t="s">
        <v>19</v>
      </c>
      <c r="J1209" t="s">
        <v>286</v>
      </c>
      <c r="K1209" s="21" t="str">
        <f>IF(X1209&lt;=0.9,HYPERLINK("http://www.lxhausys.co.kr/popup/rn/download/downloadPopup.jsp?from=plwindow&amp;uu=/upload/window/REPORT/LGH-TW20-052.pdf","1등급"),IF(X1209&lt;=1.2,HYPERLINK("http://www.lxhausys.co.kr/popup/rn/download/downloadPopup.jsp?from=plwindow&amp;uu=/upload/window/REPORT/LGH-TW20-052.pdf","2등급"),IF(X1209&lt;=1.8,HYPERLINK("http://www.lxhausys.co.kr/popup/rn/download/downloadPopup.jsp?from=plwindow&amp;uu=/upload/window/REPORT/LGH-TW20-052.pdf","3등급"),IF(X1209&lt;=2.3,HYPERLINK("http://www.lxhausys.co.kr/popup/rn/download/downloadPopup.jsp?from=plwindow&amp;uu=/upload/window/REPORT/LGH-TW20-052.pdf","4등급"),IF(X1209&lt;=2.8,HYPERLINK("http://www.lxhausys.co.kr/popup/rn/download/downloadPopup.jsp?from=plwindow&amp;uu=/upload/window/REPORT/LGH-TW20-052.pdf","5등급"),HYPERLINK("http://www.lxhausys.co.kr/popup/rn/download/downloadPopup.jsp?from=plwindow&amp;uu=/upload/window/REPORT/LGH-TW20-052.pdf","등급외"))))))</f>
        <v>1등급</v>
      </c>
      <c r="L1209" s="5">
        <v>0.88</v>
      </c>
      <c r="M1209" s="5" t="s">
        <v>22</v>
      </c>
      <c r="N1209" s="5" t="s">
        <v>607</v>
      </c>
      <c r="O1209" s="5" t="s">
        <v>19</v>
      </c>
      <c r="P1209" s="5" t="s">
        <v>19</v>
      </c>
      <c r="Q1209" s="5" t="s">
        <v>19</v>
      </c>
      <c r="R1209" s="5" t="s">
        <v>19</v>
      </c>
      <c r="S1209" s="5" t="s">
        <v>19</v>
      </c>
      <c r="T1209" s="5" t="s">
        <v>19</v>
      </c>
      <c r="U1209" s="5" t="s">
        <v>19</v>
      </c>
      <c r="V1209" s="5" t="s">
        <v>19</v>
      </c>
      <c r="W1209" s="5" t="s">
        <v>19</v>
      </c>
      <c r="X1209" s="19">
        <f t="shared" si="13"/>
        <v>0.88</v>
      </c>
    </row>
    <row r="1210" spans="1:24">
      <c r="A1210" t="s">
        <v>450</v>
      </c>
      <c r="B1210" t="s">
        <v>450</v>
      </c>
      <c r="C1210" t="s">
        <v>263</v>
      </c>
      <c r="D1210" t="s">
        <v>19</v>
      </c>
      <c r="E1210" t="s">
        <v>19</v>
      </c>
      <c r="F1210" t="s">
        <v>19</v>
      </c>
      <c r="G1210" t="s">
        <v>19</v>
      </c>
      <c r="H1210" t="s">
        <v>19</v>
      </c>
      <c r="I1210" t="s">
        <v>19</v>
      </c>
      <c r="J1210" t="s">
        <v>19</v>
      </c>
      <c r="K1210" s="21" t="s">
        <v>607</v>
      </c>
      <c r="L1210" s="5" t="s">
        <v>19</v>
      </c>
      <c r="M1210" s="5" t="s">
        <v>19</v>
      </c>
      <c r="N1210" s="5" t="s">
        <v>19</v>
      </c>
      <c r="O1210" s="5" t="s">
        <v>19</v>
      </c>
      <c r="P1210" s="5" t="s">
        <v>19</v>
      </c>
      <c r="Q1210" s="5" t="s">
        <v>19</v>
      </c>
      <c r="R1210" s="5" t="s">
        <v>19</v>
      </c>
      <c r="S1210" s="5" t="s">
        <v>19</v>
      </c>
      <c r="T1210" s="5" t="s">
        <v>19</v>
      </c>
      <c r="U1210" s="5" t="s">
        <v>19</v>
      </c>
      <c r="V1210" s="5" t="str">
        <f>HYPERLINK("http://www.lghausys.co.kr/popup/rn/download/downloadPopup.jsp?from=plwindow&amp;uu=/upload/window/REPORT/CT20-064619K.pdf","PASS")</f>
        <v>PASS</v>
      </c>
      <c r="W1210" s="5" t="s">
        <v>19</v>
      </c>
      <c r="X1210"/>
    </row>
    <row r="1211" spans="1:24">
      <c r="A1211" t="s">
        <v>52</v>
      </c>
      <c r="B1211" t="s">
        <v>52</v>
      </c>
      <c r="C1211" t="s">
        <v>34</v>
      </c>
      <c r="D1211" t="s">
        <v>471</v>
      </c>
      <c r="E1211" t="s">
        <v>19</v>
      </c>
      <c r="F1211" t="s">
        <v>19</v>
      </c>
      <c r="G1211" t="s">
        <v>19</v>
      </c>
      <c r="H1211" t="s">
        <v>471</v>
      </c>
      <c r="I1211" t="s">
        <v>19</v>
      </c>
      <c r="J1211" t="s">
        <v>74</v>
      </c>
      <c r="K1211" s="21" t="s">
        <v>607</v>
      </c>
      <c r="L1211" s="5" t="s">
        <v>19</v>
      </c>
      <c r="M1211" s="5" t="s">
        <v>19</v>
      </c>
      <c r="N1211" s="5" t="str">
        <f>HYPERLINK("http://www.lghausys.co.kr/popup/rn/download/downloadPopup.jsp?from=plwindow&amp;uu=/upload/window/REPORT/LGH-TA20-244.pdf","0.921")</f>
        <v>0.921</v>
      </c>
      <c r="O1211" s="5" t="s">
        <v>19</v>
      </c>
      <c r="P1211" s="5" t="s">
        <v>19</v>
      </c>
      <c r="Q1211" s="5" t="s">
        <v>19</v>
      </c>
      <c r="R1211" s="5" t="s">
        <v>19</v>
      </c>
      <c r="S1211" s="5" t="s">
        <v>19</v>
      </c>
      <c r="T1211" s="5" t="s">
        <v>19</v>
      </c>
      <c r="U1211" s="5" t="s">
        <v>19</v>
      </c>
      <c r="V1211" s="5" t="s">
        <v>19</v>
      </c>
      <c r="W1211" s="5" t="s">
        <v>75</v>
      </c>
      <c r="X1211"/>
    </row>
    <row r="1212" spans="1:24">
      <c r="A1212" t="s">
        <v>52</v>
      </c>
      <c r="B1212" t="s">
        <v>52</v>
      </c>
      <c r="C1212" t="s">
        <v>34</v>
      </c>
      <c r="D1212" t="s">
        <v>472</v>
      </c>
      <c r="E1212" t="s">
        <v>19</v>
      </c>
      <c r="F1212" t="s">
        <v>19</v>
      </c>
      <c r="G1212" t="s">
        <v>19</v>
      </c>
      <c r="H1212" t="s">
        <v>472</v>
      </c>
      <c r="I1212" t="s">
        <v>19</v>
      </c>
      <c r="J1212" t="s">
        <v>74</v>
      </c>
      <c r="K1212" s="21" t="s">
        <v>607</v>
      </c>
      <c r="L1212" s="5" t="s">
        <v>19</v>
      </c>
      <c r="M1212" s="5" t="s">
        <v>19</v>
      </c>
      <c r="N1212" s="5" t="str">
        <f>HYPERLINK("http://www.lghausys.co.kr/popup/rn/download/downloadPopup.jsp?from=plwindow&amp;uu=/upload/window/REPORT/LGH-TA20-245.pdf","0.931")</f>
        <v>0.931</v>
      </c>
      <c r="O1212" s="5" t="s">
        <v>19</v>
      </c>
      <c r="P1212" s="5" t="s">
        <v>19</v>
      </c>
      <c r="Q1212" s="5" t="s">
        <v>19</v>
      </c>
      <c r="R1212" s="5" t="s">
        <v>19</v>
      </c>
      <c r="S1212" s="5" t="s">
        <v>19</v>
      </c>
      <c r="T1212" s="5" t="s">
        <v>19</v>
      </c>
      <c r="U1212" s="5" t="s">
        <v>19</v>
      </c>
      <c r="V1212" s="5" t="s">
        <v>19</v>
      </c>
      <c r="W1212" s="5" t="s">
        <v>75</v>
      </c>
      <c r="X1212"/>
    </row>
    <row r="1213" spans="1:24">
      <c r="A1213" t="s">
        <v>448</v>
      </c>
      <c r="B1213" t="s">
        <v>448</v>
      </c>
      <c r="C1213" t="s">
        <v>20</v>
      </c>
      <c r="D1213" t="s">
        <v>198</v>
      </c>
      <c r="E1213" t="s">
        <v>19</v>
      </c>
      <c r="F1213" t="s">
        <v>19</v>
      </c>
      <c r="G1213" t="s">
        <v>19</v>
      </c>
      <c r="H1213" t="s">
        <v>19</v>
      </c>
      <c r="I1213" t="s">
        <v>19</v>
      </c>
      <c r="J1213" t="s">
        <v>74</v>
      </c>
      <c r="K1213" s="21" t="str">
        <f>IF(X1213&lt;=0.9,HYPERLINK("http://www.lxhausys.co.kr/popup/rn/download/downloadPopup.jsp?from=plwindow&amp;uu=/upload/window/REPORT/LGH-TW20-053.pdf","1등급"),IF(X1213&lt;=1.2,HYPERLINK("http://www.lxhausys.co.kr/popup/rn/download/downloadPopup.jsp?from=plwindow&amp;uu=/upload/window/REPORT/LGH-TW20-053.pdf","2등급"),IF(X1213&lt;=1.8,HYPERLINK("http://www.lxhausys.co.kr/popup/rn/download/downloadPopup.jsp?from=plwindow&amp;uu=/upload/window/REPORT/LGH-TW20-053.pdf","3등급"),IF(X1213&lt;=2.3,HYPERLINK("http://www.lxhausys.co.kr/popup/rn/download/downloadPopup.jsp?from=plwindow&amp;uu=/upload/window/REPORT/LGH-TW20-053.pdf","4등급"),IF(X1213&lt;=2.8,HYPERLINK("http://www.lxhausys.co.kr/popup/rn/download/downloadPopup.jsp?from=plwindow&amp;uu=/upload/window/REPORT/LGH-TW20-053.pdf","5등급"),HYPERLINK("http://www.lxhausys.co.kr/popup/rn/download/downloadPopup.jsp?from=plwindow&amp;uu=/upload/window/REPORT/LGH-TW20-053.pdf","등급외"))))))</f>
        <v>3등급</v>
      </c>
      <c r="L1213" s="5">
        <v>1.238</v>
      </c>
      <c r="M1213" s="5" t="s">
        <v>22</v>
      </c>
      <c r="N1213" s="5" t="s">
        <v>607</v>
      </c>
      <c r="O1213" s="5" t="s">
        <v>19</v>
      </c>
      <c r="P1213" s="5" t="s">
        <v>19</v>
      </c>
      <c r="Q1213" s="5" t="s">
        <v>19</v>
      </c>
      <c r="R1213" s="5" t="s">
        <v>19</v>
      </c>
      <c r="S1213" s="5" t="s">
        <v>19</v>
      </c>
      <c r="T1213" s="5" t="s">
        <v>19</v>
      </c>
      <c r="U1213" s="5" t="s">
        <v>19</v>
      </c>
      <c r="V1213" s="5" t="s">
        <v>19</v>
      </c>
      <c r="W1213" s="5" t="s">
        <v>19</v>
      </c>
      <c r="X1213" s="19">
        <f>L1213</f>
        <v>1.238</v>
      </c>
    </row>
    <row r="1214" spans="1:24">
      <c r="A1214" t="s">
        <v>72</v>
      </c>
      <c r="B1214" t="s">
        <v>72</v>
      </c>
      <c r="C1214" t="s">
        <v>31</v>
      </c>
      <c r="D1214" t="s">
        <v>21</v>
      </c>
      <c r="E1214" t="s">
        <v>19</v>
      </c>
      <c r="F1214" t="s">
        <v>19</v>
      </c>
      <c r="G1214" t="s">
        <v>19</v>
      </c>
      <c r="H1214" t="s">
        <v>19</v>
      </c>
      <c r="I1214" t="s">
        <v>19</v>
      </c>
      <c r="J1214" t="s">
        <v>74</v>
      </c>
      <c r="K1214" s="21" t="s">
        <v>607</v>
      </c>
      <c r="L1214" s="5" t="s">
        <v>19</v>
      </c>
      <c r="M1214" s="5" t="s">
        <v>19</v>
      </c>
      <c r="N1214" s="5" t="s">
        <v>19</v>
      </c>
      <c r="O1214" s="5" t="str">
        <f>HYPERLINK("http://www.lghausys.co.kr/popup/rn/download/downloadPopup.jsp?from=plwindow&amp;uu=/upload/window/REPORT/LGH-WA20-259.pdf","2등급")</f>
        <v>2등급</v>
      </c>
      <c r="P1214" s="5" t="s">
        <v>19</v>
      </c>
      <c r="Q1214" s="5" t="s">
        <v>19</v>
      </c>
      <c r="R1214" s="5" t="s">
        <v>19</v>
      </c>
      <c r="S1214" s="5" t="s">
        <v>19</v>
      </c>
      <c r="T1214" s="5" t="s">
        <v>19</v>
      </c>
      <c r="U1214" s="5" t="s">
        <v>19</v>
      </c>
      <c r="V1214" s="5" t="s">
        <v>19</v>
      </c>
      <c r="W1214" s="5" t="s">
        <v>152</v>
      </c>
      <c r="X1214"/>
    </row>
    <row r="1215" spans="1:24">
      <c r="A1215" t="s">
        <v>221</v>
      </c>
      <c r="B1215" t="s">
        <v>221</v>
      </c>
      <c r="C1215" t="s">
        <v>31</v>
      </c>
      <c r="D1215" t="s">
        <v>25</v>
      </c>
      <c r="E1215" t="s">
        <v>473</v>
      </c>
      <c r="F1215" t="s">
        <v>19</v>
      </c>
      <c r="G1215" t="s">
        <v>19</v>
      </c>
      <c r="H1215" t="s">
        <v>19</v>
      </c>
      <c r="I1215" t="s">
        <v>19</v>
      </c>
      <c r="J1215" t="s">
        <v>97</v>
      </c>
      <c r="K1215" s="21" t="s">
        <v>607</v>
      </c>
      <c r="L1215" s="5" t="s">
        <v>19</v>
      </c>
      <c r="M1215" s="5" t="s">
        <v>19</v>
      </c>
      <c r="N1215" s="5" t="s">
        <v>19</v>
      </c>
      <c r="O1215" s="5" t="str">
        <f>HYPERLINK("http://www.lghausys.co.kr/popup/rn/download/downloadPopup.jsp?from=plwindow&amp;uu=/upload/window/REPORT/LGH-WA20-260.pdf","2등급")</f>
        <v>2등급</v>
      </c>
      <c r="P1215" s="5" t="s">
        <v>19</v>
      </c>
      <c r="Q1215" s="5" t="s">
        <v>19</v>
      </c>
      <c r="R1215" s="5" t="s">
        <v>19</v>
      </c>
      <c r="S1215" s="5" t="s">
        <v>19</v>
      </c>
      <c r="T1215" s="5" t="s">
        <v>19</v>
      </c>
      <c r="U1215" s="5" t="s">
        <v>19</v>
      </c>
      <c r="V1215" s="5" t="s">
        <v>19</v>
      </c>
      <c r="W1215" s="5" t="s">
        <v>152</v>
      </c>
      <c r="X1215"/>
    </row>
    <row r="1216" spans="1:24">
      <c r="A1216" t="s">
        <v>139</v>
      </c>
      <c r="B1216" t="s">
        <v>139</v>
      </c>
      <c r="C1216" t="s">
        <v>14</v>
      </c>
      <c r="D1216" t="s">
        <v>474</v>
      </c>
      <c r="E1216" t="s">
        <v>19</v>
      </c>
      <c r="F1216" t="s">
        <v>28</v>
      </c>
      <c r="G1216" t="s">
        <v>182</v>
      </c>
      <c r="H1216" t="s">
        <v>28</v>
      </c>
      <c r="I1216" t="s">
        <v>19</v>
      </c>
      <c r="J1216" t="s">
        <v>97</v>
      </c>
      <c r="K1216" s="21" t="s">
        <v>607</v>
      </c>
      <c r="L1216" s="5" t="s">
        <v>19</v>
      </c>
      <c r="M1216" s="5" t="s">
        <v>19</v>
      </c>
      <c r="N1216" s="5" t="s">
        <v>19</v>
      </c>
      <c r="O1216" s="5" t="s">
        <v>19</v>
      </c>
      <c r="P1216" s="5" t="s">
        <v>19</v>
      </c>
      <c r="Q1216" s="5" t="s">
        <v>19</v>
      </c>
      <c r="R1216" s="5" t="s">
        <v>19</v>
      </c>
      <c r="S1216" s="5" t="s">
        <v>19</v>
      </c>
      <c r="T1216" s="5" t="str">
        <f>HYPERLINK("http://www.lghausys.co.kr/popup/rn/download/downloadPopup.jsp?from=plwindow&amp;uu=/upload/window/REPORT/LGH-DA20-046.pdf","결로발생없음")</f>
        <v>결로발생없음</v>
      </c>
      <c r="U1216" s="5" t="s">
        <v>19</v>
      </c>
      <c r="V1216" s="5" t="s">
        <v>19</v>
      </c>
      <c r="W1216" s="5" t="s">
        <v>75</v>
      </c>
      <c r="X1216"/>
    </row>
    <row r="1217" spans="1:24">
      <c r="A1217" t="s">
        <v>122</v>
      </c>
      <c r="B1217" t="s">
        <v>122</v>
      </c>
      <c r="C1217" t="s">
        <v>15</v>
      </c>
      <c r="D1217" t="s">
        <v>64</v>
      </c>
      <c r="E1217" t="s">
        <v>19</v>
      </c>
      <c r="F1217" t="s">
        <v>19</v>
      </c>
      <c r="G1217" t="s">
        <v>19</v>
      </c>
      <c r="H1217" t="s">
        <v>28</v>
      </c>
      <c r="I1217" t="s">
        <v>19</v>
      </c>
      <c r="J1217" t="s">
        <v>97</v>
      </c>
      <c r="K1217" s="21" t="s">
        <v>607</v>
      </c>
      <c r="L1217" s="5" t="s">
        <v>19</v>
      </c>
      <c r="M1217" s="5" t="s">
        <v>19</v>
      </c>
      <c r="N1217" s="5" t="s">
        <v>19</v>
      </c>
      <c r="O1217" s="5" t="s">
        <v>19</v>
      </c>
      <c r="P1217" s="5" t="s">
        <v>19</v>
      </c>
      <c r="Q1217" s="5" t="s">
        <v>19</v>
      </c>
      <c r="R1217" s="5" t="s">
        <v>19</v>
      </c>
      <c r="S1217" s="5" t="s">
        <v>19</v>
      </c>
      <c r="T1217" s="5" t="s">
        <v>19</v>
      </c>
      <c r="U1217" s="5" t="str">
        <f>HYPERLINK("http://www.lghausys.co.kr/popup/rn/download/downloadPopup.jsp?from=plwindow&amp;uu=/upload/window/REPORT/LGH-DA20-047.pdf","결로발생없음")</f>
        <v>결로발생없음</v>
      </c>
      <c r="V1217" s="5" t="s">
        <v>19</v>
      </c>
      <c r="W1217" s="5" t="s">
        <v>75</v>
      </c>
      <c r="X1217"/>
    </row>
    <row r="1218" spans="1:24">
      <c r="A1218" t="s">
        <v>73</v>
      </c>
      <c r="B1218" t="s">
        <v>73</v>
      </c>
      <c r="C1218" t="s">
        <v>14</v>
      </c>
      <c r="D1218" t="s">
        <v>25</v>
      </c>
      <c r="E1218" t="s">
        <v>19</v>
      </c>
      <c r="F1218" t="s">
        <v>19</v>
      </c>
      <c r="G1218" t="s">
        <v>19</v>
      </c>
      <c r="H1218" t="s">
        <v>28</v>
      </c>
      <c r="I1218" t="s">
        <v>19</v>
      </c>
      <c r="J1218" t="s">
        <v>74</v>
      </c>
      <c r="K1218" s="21" t="s">
        <v>607</v>
      </c>
      <c r="L1218" s="5" t="s">
        <v>19</v>
      </c>
      <c r="M1218" s="5" t="s">
        <v>19</v>
      </c>
      <c r="N1218" s="5" t="s">
        <v>19</v>
      </c>
      <c r="O1218" s="5" t="s">
        <v>19</v>
      </c>
      <c r="P1218" s="5" t="s">
        <v>19</v>
      </c>
      <c r="Q1218" s="5" t="s">
        <v>19</v>
      </c>
      <c r="R1218" s="5" t="s">
        <v>19</v>
      </c>
      <c r="S1218" s="5" t="s">
        <v>19</v>
      </c>
      <c r="T1218" s="5" t="str">
        <f>HYPERLINK("http://www.lghausys.co.kr/popup/rn/download/downloadPopup.jsp?from=plwindow&amp;uu=/upload/window/REPORT/LGH-DA20-049.pdf","결로발생없음")</f>
        <v>결로발생없음</v>
      </c>
      <c r="U1218" s="5" t="s">
        <v>19</v>
      </c>
      <c r="V1218" s="5" t="s">
        <v>19</v>
      </c>
      <c r="W1218" s="5" t="s">
        <v>75</v>
      </c>
      <c r="X1218"/>
    </row>
    <row r="1219" spans="1:24">
      <c r="A1219" t="s">
        <v>475</v>
      </c>
      <c r="B1219" t="s">
        <v>475</v>
      </c>
      <c r="C1219" t="s">
        <v>34</v>
      </c>
      <c r="D1219" t="s">
        <v>476</v>
      </c>
      <c r="E1219" t="s">
        <v>19</v>
      </c>
      <c r="F1219" t="s">
        <v>25</v>
      </c>
      <c r="G1219" t="s">
        <v>182</v>
      </c>
      <c r="H1219" t="s">
        <v>28</v>
      </c>
      <c r="I1219" t="s">
        <v>19</v>
      </c>
      <c r="J1219" t="s">
        <v>74</v>
      </c>
      <c r="K1219" s="21" t="s">
        <v>607</v>
      </c>
      <c r="L1219" s="5" t="s">
        <v>19</v>
      </c>
      <c r="M1219" s="5" t="s">
        <v>19</v>
      </c>
      <c r="N1219" s="5" t="str">
        <f>HYPERLINK("http://www.lghausys.co.kr/popup/rn/download/downloadPopup.jsp?from=plwindow&amp;uu=/upload/window/REPORT/LGH-TA20-274.pdf","0.995")</f>
        <v>0.995</v>
      </c>
      <c r="O1219" s="5" t="s">
        <v>19</v>
      </c>
      <c r="P1219" s="5" t="s">
        <v>19</v>
      </c>
      <c r="Q1219" s="5" t="s">
        <v>19</v>
      </c>
      <c r="R1219" s="5" t="s">
        <v>19</v>
      </c>
      <c r="S1219" s="5" t="s">
        <v>19</v>
      </c>
      <c r="T1219" s="5" t="s">
        <v>19</v>
      </c>
      <c r="U1219" s="5" t="s">
        <v>19</v>
      </c>
      <c r="V1219" s="5" t="s">
        <v>19</v>
      </c>
      <c r="W1219" s="5" t="s">
        <v>75</v>
      </c>
      <c r="X1219"/>
    </row>
    <row r="1220" spans="1:24">
      <c r="A1220" t="s">
        <v>477</v>
      </c>
      <c r="B1220" t="s">
        <v>477</v>
      </c>
      <c r="C1220" t="s">
        <v>31</v>
      </c>
      <c r="D1220" t="s">
        <v>25</v>
      </c>
      <c r="E1220" t="s">
        <v>478</v>
      </c>
      <c r="F1220" t="s">
        <v>19</v>
      </c>
      <c r="G1220" t="s">
        <v>19</v>
      </c>
      <c r="H1220" t="s">
        <v>28</v>
      </c>
      <c r="I1220" t="s">
        <v>19</v>
      </c>
      <c r="J1220" t="s">
        <v>145</v>
      </c>
      <c r="K1220" s="21" t="s">
        <v>607</v>
      </c>
      <c r="L1220" s="5" t="s">
        <v>19</v>
      </c>
      <c r="M1220" s="5" t="s">
        <v>19</v>
      </c>
      <c r="N1220" s="5" t="s">
        <v>19</v>
      </c>
      <c r="O1220" s="5" t="str">
        <f>HYPERLINK("http://www.lghausys.co.kr/popup/rn/download/downloadPopup.jsp?from=plwindow&amp;uu=/upload/window/REPORT/LGH-WA20-269.pdf","1등급")</f>
        <v>1등급</v>
      </c>
      <c r="P1220" s="5" t="str">
        <f>HYPERLINK("http://www.lghausys.co.kr/popup/rn/download/downloadPopup.jsp?from=plwindow&amp;uu=/upload/window/REPORT/LGH-WA20-269.pdf","50등급")</f>
        <v>50등급</v>
      </c>
      <c r="Q1220" s="5" t="str">
        <f>HYPERLINK("http://www.lghausys.co.kr/popup/rn/download/downloadPopup.jsp?from=plwindow&amp;uu=/upload/window/REPORT/LGH-WA20-269.pdf","360등급")</f>
        <v>360등급</v>
      </c>
      <c r="R1220" s="5" t="s">
        <v>19</v>
      </c>
      <c r="S1220" s="5" t="s">
        <v>19</v>
      </c>
      <c r="T1220" s="5" t="s">
        <v>19</v>
      </c>
      <c r="U1220" s="5" t="s">
        <v>19</v>
      </c>
      <c r="V1220" s="5" t="s">
        <v>19</v>
      </c>
      <c r="W1220" s="5" t="s">
        <v>152</v>
      </c>
      <c r="X1220"/>
    </row>
    <row r="1221" spans="1:24">
      <c r="A1221" t="s">
        <v>477</v>
      </c>
      <c r="B1221" t="s">
        <v>477</v>
      </c>
      <c r="C1221" t="s">
        <v>34</v>
      </c>
      <c r="D1221" t="s">
        <v>25</v>
      </c>
      <c r="E1221" t="s">
        <v>478</v>
      </c>
      <c r="F1221" t="s">
        <v>19</v>
      </c>
      <c r="G1221" t="s">
        <v>19</v>
      </c>
      <c r="H1221" t="s">
        <v>28</v>
      </c>
      <c r="I1221" t="s">
        <v>19</v>
      </c>
      <c r="J1221" t="s">
        <v>145</v>
      </c>
      <c r="K1221" s="21" t="s">
        <v>607</v>
      </c>
      <c r="L1221" s="5" t="s">
        <v>19</v>
      </c>
      <c r="M1221" s="5" t="s">
        <v>19</v>
      </c>
      <c r="N1221" s="5" t="str">
        <f>HYPERLINK("http://www.lghausys.co.kr/popup/rn/download/downloadPopup.jsp?from=plwindow&amp;uu=/upload/window/REPORT/LGH-TA20-275.pdf","0.965")</f>
        <v>0.965</v>
      </c>
      <c r="O1221" s="5" t="s">
        <v>19</v>
      </c>
      <c r="P1221" s="5" t="s">
        <v>19</v>
      </c>
      <c r="Q1221" s="5" t="s">
        <v>19</v>
      </c>
      <c r="R1221" s="5" t="s">
        <v>19</v>
      </c>
      <c r="S1221" s="5" t="s">
        <v>19</v>
      </c>
      <c r="T1221" s="5" t="s">
        <v>19</v>
      </c>
      <c r="U1221" s="5" t="s">
        <v>19</v>
      </c>
      <c r="V1221" s="5" t="s">
        <v>19</v>
      </c>
      <c r="W1221" s="5" t="s">
        <v>75</v>
      </c>
      <c r="X1221"/>
    </row>
    <row r="1222" spans="1:24">
      <c r="A1222" t="s">
        <v>61</v>
      </c>
      <c r="B1222" t="s">
        <v>61</v>
      </c>
      <c r="C1222" t="s">
        <v>34</v>
      </c>
      <c r="D1222" t="s">
        <v>28</v>
      </c>
      <c r="E1222" t="s">
        <v>19</v>
      </c>
      <c r="F1222" t="s">
        <v>19</v>
      </c>
      <c r="G1222" t="s">
        <v>19</v>
      </c>
      <c r="H1222" t="s">
        <v>19</v>
      </c>
      <c r="I1222" t="s">
        <v>19</v>
      </c>
      <c r="J1222" t="s">
        <v>74</v>
      </c>
      <c r="K1222" s="21" t="s">
        <v>607</v>
      </c>
      <c r="L1222" s="5" t="s">
        <v>19</v>
      </c>
      <c r="M1222" s="5" t="s">
        <v>19</v>
      </c>
      <c r="N1222" s="5" t="str">
        <f>HYPERLINK("http://www.lghausys.co.kr/popup/rn/download/downloadPopup.jsp?from=plwindow&amp;uu=/upload/window/REPORT/LGH-TA20-276.pdf","2.037")</f>
        <v>2.037</v>
      </c>
      <c r="O1222" s="5" t="s">
        <v>19</v>
      </c>
      <c r="P1222" s="5" t="s">
        <v>19</v>
      </c>
      <c r="Q1222" s="5" t="s">
        <v>19</v>
      </c>
      <c r="R1222" s="5" t="s">
        <v>19</v>
      </c>
      <c r="S1222" s="5" t="s">
        <v>19</v>
      </c>
      <c r="T1222" s="5" t="s">
        <v>19</v>
      </c>
      <c r="U1222" s="5" t="s">
        <v>19</v>
      </c>
      <c r="V1222" s="5" t="s">
        <v>19</v>
      </c>
      <c r="W1222" s="5" t="s">
        <v>75</v>
      </c>
      <c r="X1222"/>
    </row>
    <row r="1223" spans="1:24">
      <c r="A1223" t="s">
        <v>72</v>
      </c>
      <c r="B1223" t="s">
        <v>72</v>
      </c>
      <c r="C1223" t="s">
        <v>34</v>
      </c>
      <c r="D1223" t="s">
        <v>76</v>
      </c>
      <c r="E1223" t="s">
        <v>19</v>
      </c>
      <c r="F1223" t="s">
        <v>19</v>
      </c>
      <c r="G1223" t="s">
        <v>19</v>
      </c>
      <c r="H1223" t="s">
        <v>19</v>
      </c>
      <c r="I1223" t="s">
        <v>19</v>
      </c>
      <c r="J1223" t="s">
        <v>74</v>
      </c>
      <c r="K1223" s="21" t="s">
        <v>607</v>
      </c>
      <c r="L1223" s="5" t="s">
        <v>19</v>
      </c>
      <c r="M1223" s="5" t="s">
        <v>19</v>
      </c>
      <c r="N1223" s="5" t="str">
        <f>HYPERLINK("http://www.lghausys.co.kr/popup/rn/download/downloadPopup.jsp?from=plwindow&amp;uu=/upload/window/REPORT/LGH-TA20-277.pdf","1.718")</f>
        <v>1.718</v>
      </c>
      <c r="O1223" s="5" t="s">
        <v>19</v>
      </c>
      <c r="P1223" s="5" t="s">
        <v>19</v>
      </c>
      <c r="Q1223" s="5" t="s">
        <v>19</v>
      </c>
      <c r="R1223" s="5" t="s">
        <v>19</v>
      </c>
      <c r="S1223" s="5" t="s">
        <v>19</v>
      </c>
      <c r="T1223" s="5" t="s">
        <v>19</v>
      </c>
      <c r="U1223" s="5" t="s">
        <v>19</v>
      </c>
      <c r="V1223" s="5" t="s">
        <v>19</v>
      </c>
      <c r="W1223" s="5" t="s">
        <v>75</v>
      </c>
      <c r="X1223"/>
    </row>
    <row r="1224" spans="1:24">
      <c r="A1224" t="s">
        <v>73</v>
      </c>
      <c r="B1224" t="s">
        <v>73</v>
      </c>
      <c r="C1224" t="s">
        <v>34</v>
      </c>
      <c r="D1224" t="s">
        <v>25</v>
      </c>
      <c r="E1224" t="s">
        <v>19</v>
      </c>
      <c r="F1224" t="s">
        <v>19</v>
      </c>
      <c r="G1224" t="s">
        <v>19</v>
      </c>
      <c r="H1224" t="s">
        <v>28</v>
      </c>
      <c r="I1224" t="s">
        <v>19</v>
      </c>
      <c r="J1224" t="s">
        <v>74</v>
      </c>
      <c r="K1224" s="21" t="s">
        <v>607</v>
      </c>
      <c r="L1224" s="5" t="s">
        <v>19</v>
      </c>
      <c r="M1224" s="5" t="s">
        <v>19</v>
      </c>
      <c r="N1224" s="5" t="str">
        <f>HYPERLINK("http://www.lghausys.co.kr/popup/rn/download/downloadPopup.jsp?from=plwindow&amp;uu=/upload/window/REPORT/LGH-TA20-280.pdf","1.053")</f>
        <v>1.053</v>
      </c>
      <c r="O1224" s="5" t="s">
        <v>19</v>
      </c>
      <c r="P1224" s="5" t="s">
        <v>19</v>
      </c>
      <c r="Q1224" s="5" t="s">
        <v>19</v>
      </c>
      <c r="R1224" s="5" t="s">
        <v>19</v>
      </c>
      <c r="S1224" s="5" t="s">
        <v>19</v>
      </c>
      <c r="T1224" s="5" t="s">
        <v>19</v>
      </c>
      <c r="U1224" s="5" t="s">
        <v>19</v>
      </c>
      <c r="V1224" s="5" t="s">
        <v>19</v>
      </c>
      <c r="W1224" s="5" t="s">
        <v>75</v>
      </c>
      <c r="X1224"/>
    </row>
    <row r="1225" spans="1:24">
      <c r="A1225" t="s">
        <v>224</v>
      </c>
      <c r="B1225" t="s">
        <v>224</v>
      </c>
      <c r="C1225" t="s">
        <v>34</v>
      </c>
      <c r="D1225" t="s">
        <v>28</v>
      </c>
      <c r="E1225" t="s">
        <v>19</v>
      </c>
      <c r="F1225" t="s">
        <v>19</v>
      </c>
      <c r="G1225" t="s">
        <v>19</v>
      </c>
      <c r="H1225" t="s">
        <v>19</v>
      </c>
      <c r="I1225" t="s">
        <v>19</v>
      </c>
      <c r="J1225" t="s">
        <v>74</v>
      </c>
      <c r="K1225" s="21" t="s">
        <v>607</v>
      </c>
      <c r="L1225" s="5" t="s">
        <v>19</v>
      </c>
      <c r="M1225" s="5" t="s">
        <v>19</v>
      </c>
      <c r="N1225" s="5" t="str">
        <f>HYPERLINK("http://www.lghausys.co.kr/popup/rn/download/downloadPopup.jsp?from=plwindow&amp;uu=/upload/window/REPORT/LGH-TA20-281.pdf","2.092")</f>
        <v>2.092</v>
      </c>
      <c r="O1225" s="5" t="s">
        <v>19</v>
      </c>
      <c r="P1225" s="5" t="s">
        <v>19</v>
      </c>
      <c r="Q1225" s="5" t="s">
        <v>19</v>
      </c>
      <c r="R1225" s="5" t="s">
        <v>19</v>
      </c>
      <c r="S1225" s="5" t="s">
        <v>19</v>
      </c>
      <c r="T1225" s="5" t="s">
        <v>19</v>
      </c>
      <c r="U1225" s="5" t="s">
        <v>19</v>
      </c>
      <c r="V1225" s="5" t="s">
        <v>19</v>
      </c>
      <c r="W1225" s="5" t="s">
        <v>75</v>
      </c>
      <c r="X1225"/>
    </row>
    <row r="1226" spans="1:24">
      <c r="A1226" t="s">
        <v>57</v>
      </c>
      <c r="B1226" t="s">
        <v>57</v>
      </c>
      <c r="C1226" t="s">
        <v>34</v>
      </c>
      <c r="D1226" t="s">
        <v>28</v>
      </c>
      <c r="E1226" t="s">
        <v>19</v>
      </c>
      <c r="F1226" t="s">
        <v>19</v>
      </c>
      <c r="G1226" t="s">
        <v>19</v>
      </c>
      <c r="H1226" t="s">
        <v>19</v>
      </c>
      <c r="I1226" t="s">
        <v>19</v>
      </c>
      <c r="J1226" t="s">
        <v>99</v>
      </c>
      <c r="K1226" s="21" t="s">
        <v>607</v>
      </c>
      <c r="L1226" s="5" t="s">
        <v>19</v>
      </c>
      <c r="M1226" s="5" t="s">
        <v>19</v>
      </c>
      <c r="N1226" s="5" t="str">
        <f>HYPERLINK("http://www.lghausys.co.kr/popup/rn/download/downloadPopup.jsp?from=plwindow&amp;uu=/upload/window/REPORT/LGH-TA20-283.pdf","1.976")</f>
        <v>1.976</v>
      </c>
      <c r="O1226" s="5" t="s">
        <v>19</v>
      </c>
      <c r="P1226" s="5" t="s">
        <v>19</v>
      </c>
      <c r="Q1226" s="5" t="s">
        <v>19</v>
      </c>
      <c r="R1226" s="5" t="s">
        <v>19</v>
      </c>
      <c r="S1226" s="5" t="s">
        <v>19</v>
      </c>
      <c r="T1226" s="5" t="s">
        <v>19</v>
      </c>
      <c r="U1226" s="5" t="s">
        <v>19</v>
      </c>
      <c r="V1226" s="5" t="s">
        <v>19</v>
      </c>
      <c r="W1226" s="5" t="s">
        <v>75</v>
      </c>
      <c r="X1226"/>
    </row>
    <row r="1227" spans="1:24">
      <c r="A1227" t="s">
        <v>144</v>
      </c>
      <c r="B1227" t="s">
        <v>144</v>
      </c>
      <c r="C1227" t="s">
        <v>34</v>
      </c>
      <c r="D1227" t="s">
        <v>28</v>
      </c>
      <c r="E1227" t="s">
        <v>19</v>
      </c>
      <c r="F1227" t="s">
        <v>19</v>
      </c>
      <c r="G1227" t="s">
        <v>19</v>
      </c>
      <c r="H1227" t="s">
        <v>479</v>
      </c>
      <c r="I1227" t="s">
        <v>19</v>
      </c>
      <c r="J1227" t="s">
        <v>167</v>
      </c>
      <c r="K1227" s="21" t="s">
        <v>607</v>
      </c>
      <c r="L1227" s="5" t="s">
        <v>19</v>
      </c>
      <c r="M1227" s="5" t="s">
        <v>19</v>
      </c>
      <c r="N1227" s="5" t="str">
        <f>HYPERLINK("http://www.lghausys.co.kr/popup/rn/download/downloadPopup.jsp?from=plwindow&amp;uu=/upload/window/REPORT/LGH-TA20-284.pdf","1.1299")</f>
        <v>1.1299</v>
      </c>
      <c r="O1227" s="5" t="s">
        <v>19</v>
      </c>
      <c r="P1227" s="5" t="s">
        <v>19</v>
      </c>
      <c r="Q1227" s="5" t="s">
        <v>19</v>
      </c>
      <c r="R1227" s="5" t="s">
        <v>19</v>
      </c>
      <c r="S1227" s="5" t="s">
        <v>19</v>
      </c>
      <c r="T1227" s="5" t="s">
        <v>19</v>
      </c>
      <c r="U1227" s="5" t="s">
        <v>19</v>
      </c>
      <c r="V1227" s="5" t="s">
        <v>19</v>
      </c>
      <c r="W1227" s="5" t="s">
        <v>75</v>
      </c>
      <c r="X1227"/>
    </row>
    <row r="1228" spans="1:24">
      <c r="A1228" t="s">
        <v>139</v>
      </c>
      <c r="B1228" t="s">
        <v>139</v>
      </c>
      <c r="C1228" t="s">
        <v>31</v>
      </c>
      <c r="D1228" t="s">
        <v>480</v>
      </c>
      <c r="E1228" t="s">
        <v>19</v>
      </c>
      <c r="F1228" t="s">
        <v>481</v>
      </c>
      <c r="G1228" t="s">
        <v>182</v>
      </c>
      <c r="H1228" t="s">
        <v>25</v>
      </c>
      <c r="I1228" t="s">
        <v>19</v>
      </c>
      <c r="J1228" t="s">
        <v>97</v>
      </c>
      <c r="K1228" s="21" t="s">
        <v>607</v>
      </c>
      <c r="L1228" s="5" t="s">
        <v>19</v>
      </c>
      <c r="M1228" s="5" t="s">
        <v>19</v>
      </c>
      <c r="N1228" s="5" t="s">
        <v>19</v>
      </c>
      <c r="O1228" s="5" t="str">
        <f>HYPERLINK("http://www.lghausys.co.kr/popup/rn/download/downloadPopup.jsp?from=plwindow&amp;uu=/upload/window/REPORT/LGH-WA20-276.pdf","1등급")</f>
        <v>1등급</v>
      </c>
      <c r="P1228" s="5" t="s">
        <v>19</v>
      </c>
      <c r="Q1228" s="5" t="s">
        <v>19</v>
      </c>
      <c r="R1228" s="5" t="s">
        <v>19</v>
      </c>
      <c r="S1228" s="5" t="s">
        <v>19</v>
      </c>
      <c r="T1228" s="5" t="s">
        <v>19</v>
      </c>
      <c r="U1228" s="5" t="s">
        <v>19</v>
      </c>
      <c r="V1228" s="5" t="s">
        <v>19</v>
      </c>
      <c r="W1228" s="5" t="s">
        <v>152</v>
      </c>
      <c r="X1228"/>
    </row>
    <row r="1229" spans="1:24">
      <c r="A1229" t="s">
        <v>224</v>
      </c>
      <c r="B1229" t="s">
        <v>224</v>
      </c>
      <c r="C1229" t="s">
        <v>31</v>
      </c>
      <c r="D1229" t="s">
        <v>28</v>
      </c>
      <c r="E1229" t="s">
        <v>19</v>
      </c>
      <c r="F1229" t="s">
        <v>19</v>
      </c>
      <c r="G1229" t="s">
        <v>19</v>
      </c>
      <c r="H1229" t="s">
        <v>19</v>
      </c>
      <c r="I1229" t="s">
        <v>19</v>
      </c>
      <c r="J1229" t="s">
        <v>74</v>
      </c>
      <c r="K1229" s="21" t="s">
        <v>607</v>
      </c>
      <c r="L1229" s="5" t="s">
        <v>19</v>
      </c>
      <c r="M1229" s="5" t="s">
        <v>19</v>
      </c>
      <c r="N1229" s="5" t="s">
        <v>19</v>
      </c>
      <c r="O1229" s="5" t="str">
        <f>HYPERLINK("http://www.lghausys.co.kr/popup/rn/download/downloadPopup.jsp?from=plwindow&amp;uu=/upload/window/REPORT/LGH-WA20-278.pdf","2등급")</f>
        <v>2등급</v>
      </c>
      <c r="P1229" s="5" t="s">
        <v>19</v>
      </c>
      <c r="Q1229" s="5" t="s">
        <v>19</v>
      </c>
      <c r="R1229" s="5" t="s">
        <v>19</v>
      </c>
      <c r="S1229" s="5" t="s">
        <v>19</v>
      </c>
      <c r="T1229" s="5" t="s">
        <v>19</v>
      </c>
      <c r="U1229" s="5" t="s">
        <v>19</v>
      </c>
      <c r="V1229" s="5" t="s">
        <v>19</v>
      </c>
      <c r="W1229" s="5" t="s">
        <v>152</v>
      </c>
      <c r="X1229"/>
    </row>
    <row r="1230" spans="1:24">
      <c r="A1230" t="s">
        <v>224</v>
      </c>
      <c r="B1230" t="s">
        <v>224</v>
      </c>
      <c r="C1230" t="s">
        <v>31</v>
      </c>
      <c r="D1230" t="s">
        <v>165</v>
      </c>
      <c r="E1230" t="s">
        <v>19</v>
      </c>
      <c r="F1230" t="s">
        <v>19</v>
      </c>
      <c r="G1230" t="s">
        <v>19</v>
      </c>
      <c r="H1230" t="s">
        <v>19</v>
      </c>
      <c r="I1230" t="s">
        <v>19</v>
      </c>
      <c r="J1230" t="s">
        <v>74</v>
      </c>
      <c r="K1230" s="21" t="s">
        <v>607</v>
      </c>
      <c r="L1230" s="5" t="s">
        <v>19</v>
      </c>
      <c r="M1230" s="5" t="s">
        <v>19</v>
      </c>
      <c r="N1230" s="5" t="s">
        <v>19</v>
      </c>
      <c r="O1230" s="5" t="str">
        <f>HYPERLINK("http://www.lghausys.co.kr/popup/rn/download/downloadPopup.jsp?from=plwindow&amp;uu=/upload/window/REPORT/LGH-WA20-279.pdf","2등급")</f>
        <v>2등급</v>
      </c>
      <c r="P1230" s="5" t="s">
        <v>19</v>
      </c>
      <c r="Q1230" s="5" t="s">
        <v>19</v>
      </c>
      <c r="R1230" s="5" t="s">
        <v>19</v>
      </c>
      <c r="S1230" s="5" t="s">
        <v>19</v>
      </c>
      <c r="T1230" s="5" t="s">
        <v>19</v>
      </c>
      <c r="U1230" s="5" t="s">
        <v>19</v>
      </c>
      <c r="V1230" s="5" t="s">
        <v>19</v>
      </c>
      <c r="W1230" s="5" t="s">
        <v>152</v>
      </c>
      <c r="X1230"/>
    </row>
    <row r="1231" spans="1:24">
      <c r="A1231" t="s">
        <v>73</v>
      </c>
      <c r="B1231" t="s">
        <v>73</v>
      </c>
      <c r="C1231" t="s">
        <v>31</v>
      </c>
      <c r="D1231" t="s">
        <v>165</v>
      </c>
      <c r="E1231" t="s">
        <v>19</v>
      </c>
      <c r="F1231" t="s">
        <v>19</v>
      </c>
      <c r="G1231" t="s">
        <v>19</v>
      </c>
      <c r="H1231" t="s">
        <v>165</v>
      </c>
      <c r="I1231" t="s">
        <v>19</v>
      </c>
      <c r="J1231" t="s">
        <v>74</v>
      </c>
      <c r="K1231" s="21" t="s">
        <v>607</v>
      </c>
      <c r="L1231" s="5" t="s">
        <v>19</v>
      </c>
      <c r="M1231" s="5" t="s">
        <v>19</v>
      </c>
      <c r="N1231" s="5" t="s">
        <v>19</v>
      </c>
      <c r="O1231" s="5" t="str">
        <f>HYPERLINK("http://www.lghausys.co.kr/popup/rn/download/downloadPopup.jsp?from=plwindow&amp;uu=/upload/window/REPORT/LGH-WA20-280.pdf","1등급")</f>
        <v>1등급</v>
      </c>
      <c r="P1231" s="5" t="s">
        <v>19</v>
      </c>
      <c r="Q1231" s="5" t="s">
        <v>19</v>
      </c>
      <c r="R1231" s="5" t="s">
        <v>19</v>
      </c>
      <c r="S1231" s="5" t="s">
        <v>19</v>
      </c>
      <c r="T1231" s="5" t="s">
        <v>19</v>
      </c>
      <c r="U1231" s="5" t="s">
        <v>19</v>
      </c>
      <c r="V1231" s="5" t="s">
        <v>19</v>
      </c>
      <c r="W1231" s="5" t="s">
        <v>152</v>
      </c>
      <c r="X1231"/>
    </row>
    <row r="1232" spans="1:24">
      <c r="A1232" t="s">
        <v>125</v>
      </c>
      <c r="B1232" t="s">
        <v>125</v>
      </c>
      <c r="C1232" t="s">
        <v>31</v>
      </c>
      <c r="D1232" t="s">
        <v>28</v>
      </c>
      <c r="E1232" t="s">
        <v>19</v>
      </c>
      <c r="F1232" t="s">
        <v>19</v>
      </c>
      <c r="G1232" t="s">
        <v>19</v>
      </c>
      <c r="H1232" t="s">
        <v>19</v>
      </c>
      <c r="I1232" t="s">
        <v>19</v>
      </c>
      <c r="J1232" t="s">
        <v>74</v>
      </c>
      <c r="K1232" s="21" t="s">
        <v>607</v>
      </c>
      <c r="L1232" s="5" t="s">
        <v>19</v>
      </c>
      <c r="M1232" s="5" t="s">
        <v>19</v>
      </c>
      <c r="N1232" s="5" t="s">
        <v>19</v>
      </c>
      <c r="O1232" s="5" t="str">
        <f>HYPERLINK("http://www.lghausys.co.kr/popup/rn/download/downloadPopup.jsp?from=plwindow&amp;uu=/upload/window/REPORT/LGH-WA20-282.pdf","2등급")</f>
        <v>2등급</v>
      </c>
      <c r="P1232" s="5" t="s">
        <v>19</v>
      </c>
      <c r="Q1232" s="5" t="s">
        <v>19</v>
      </c>
      <c r="R1232" s="5" t="s">
        <v>19</v>
      </c>
      <c r="S1232" s="5" t="s">
        <v>19</v>
      </c>
      <c r="T1232" s="5" t="s">
        <v>19</v>
      </c>
      <c r="U1232" s="5" t="s">
        <v>19</v>
      </c>
      <c r="V1232" s="5" t="s">
        <v>19</v>
      </c>
      <c r="W1232" s="5" t="s">
        <v>152</v>
      </c>
      <c r="X1232"/>
    </row>
    <row r="1233" spans="1:24">
      <c r="A1233" t="s">
        <v>73</v>
      </c>
      <c r="B1233" t="s">
        <v>73</v>
      </c>
      <c r="C1233" t="s">
        <v>31</v>
      </c>
      <c r="D1233" t="s">
        <v>482</v>
      </c>
      <c r="E1233" t="s">
        <v>19</v>
      </c>
      <c r="F1233" t="s">
        <v>19</v>
      </c>
      <c r="G1233" t="s">
        <v>19</v>
      </c>
      <c r="H1233" t="s">
        <v>28</v>
      </c>
      <c r="I1233" t="s">
        <v>19</v>
      </c>
      <c r="J1233" t="s">
        <v>145</v>
      </c>
      <c r="K1233" s="21" t="s">
        <v>607</v>
      </c>
      <c r="L1233" s="5" t="s">
        <v>19</v>
      </c>
      <c r="M1233" s="5" t="s">
        <v>19</v>
      </c>
      <c r="N1233" s="5" t="s">
        <v>19</v>
      </c>
      <c r="O1233" s="5" t="str">
        <f>HYPERLINK("http://www.lghausys.co.kr/popup/rn/download/downloadPopup.jsp?from=plwindow&amp;uu=/upload/window/REPORT/LGH-WA20-285.pdf","1등급")</f>
        <v>1등급</v>
      </c>
      <c r="P1233" s="5" t="str">
        <f>HYPERLINK("http://www.lghausys.co.kr/popup/rn/download/downloadPopup.jsp?from=plwindow&amp;uu=/upload/window/REPORT/LGH-WA20-285.pdf","50등급")</f>
        <v>50등급</v>
      </c>
      <c r="Q1233" s="5" t="str">
        <f>HYPERLINK("http://www.lghausys.co.kr/popup/rn/download/downloadPopup.jsp?from=plwindow&amp;uu=/upload/window/REPORT/LGH-WA20-285.pdf","360등급")</f>
        <v>360등급</v>
      </c>
      <c r="R1233" s="5" t="s">
        <v>19</v>
      </c>
      <c r="S1233" s="5" t="s">
        <v>19</v>
      </c>
      <c r="T1233" s="5" t="s">
        <v>19</v>
      </c>
      <c r="U1233" s="5" t="s">
        <v>19</v>
      </c>
      <c r="V1233" s="5" t="s">
        <v>19</v>
      </c>
      <c r="W1233" s="5" t="s">
        <v>152</v>
      </c>
      <c r="X1233"/>
    </row>
    <row r="1234" spans="1:24">
      <c r="A1234" t="s">
        <v>39</v>
      </c>
      <c r="B1234" t="s">
        <v>39</v>
      </c>
      <c r="C1234" t="s">
        <v>20</v>
      </c>
      <c r="D1234" t="s">
        <v>483</v>
      </c>
      <c r="E1234" t="s">
        <v>484</v>
      </c>
      <c r="F1234" t="s">
        <v>19</v>
      </c>
      <c r="G1234" t="s">
        <v>19</v>
      </c>
      <c r="H1234" t="s">
        <v>19</v>
      </c>
      <c r="I1234" t="s">
        <v>19</v>
      </c>
      <c r="J1234" t="s">
        <v>145</v>
      </c>
      <c r="K1234" s="21" t="str">
        <f>IF(X1234&lt;=0.9,HYPERLINK("http://www.lxhausys.co.kr/popup/rn/download/downloadPopup.jsp?from=plwindow&amp;uu=/upload/window/REPORT/LGH-TW20-054.pdf","1등급"),IF(X1234&lt;=1.2,HYPERLINK("http://www.lxhausys.co.kr/popup/rn/download/downloadPopup.jsp?from=plwindow&amp;uu=/upload/window/REPORT/LGH-TW20-054.pdf","2등급"),IF(X1234&lt;=1.8,HYPERLINK("http://www.lxhausys.co.kr/popup/rn/download/downloadPopup.jsp?from=plwindow&amp;uu=/upload/window/REPORT/LGH-TW20-054.pdf","3등급"),IF(X1234&lt;=2.3,HYPERLINK("http://www.lxhausys.co.kr/popup/rn/download/downloadPopup.jsp?from=plwindow&amp;uu=/upload/window/REPORT/LGH-TW20-054.pdf","4등급"),IF(X1234&lt;=2.8,HYPERLINK("http://www.lxhausys.co.kr/popup/rn/download/downloadPopup.jsp?from=plwindow&amp;uu=/upload/window/REPORT/LGH-TW20-054.pdf","5등급"),HYPERLINK("http://www.lxhausys.co.kr/popup/rn/download/downloadPopup.jsp?from=plwindow&amp;uu=/upload/window/REPORT/LGH-TW20-054.pdf","등급외"))))))</f>
        <v>2등급</v>
      </c>
      <c r="L1234" s="5">
        <v>1.1719999999999999</v>
      </c>
      <c r="M1234" s="5" t="s">
        <v>22</v>
      </c>
      <c r="N1234" s="5" t="s">
        <v>607</v>
      </c>
      <c r="O1234" s="5" t="s">
        <v>19</v>
      </c>
      <c r="P1234" s="5" t="s">
        <v>19</v>
      </c>
      <c r="Q1234" s="5" t="s">
        <v>19</v>
      </c>
      <c r="R1234" s="5" t="s">
        <v>19</v>
      </c>
      <c r="S1234" s="5" t="s">
        <v>19</v>
      </c>
      <c r="T1234" s="5" t="s">
        <v>19</v>
      </c>
      <c r="U1234" s="5" t="s">
        <v>19</v>
      </c>
      <c r="V1234" s="5" t="s">
        <v>19</v>
      </c>
      <c r="W1234" s="5" t="s">
        <v>19</v>
      </c>
      <c r="X1234" s="19">
        <f>L1234</f>
        <v>1.1719999999999999</v>
      </c>
    </row>
    <row r="1235" spans="1:24">
      <c r="A1235" t="s">
        <v>485</v>
      </c>
      <c r="B1235" t="s">
        <v>485</v>
      </c>
      <c r="C1235" t="s">
        <v>20</v>
      </c>
      <c r="D1235" t="s">
        <v>486</v>
      </c>
      <c r="E1235" t="s">
        <v>19</v>
      </c>
      <c r="F1235" t="s">
        <v>19</v>
      </c>
      <c r="G1235" t="s">
        <v>19</v>
      </c>
      <c r="H1235" t="s">
        <v>19</v>
      </c>
      <c r="I1235" t="s">
        <v>19</v>
      </c>
      <c r="J1235" t="s">
        <v>184</v>
      </c>
      <c r="K1235" s="21" t="str">
        <f>IF(X1235&lt;=0.9,HYPERLINK("http://www.lxhausys.co.kr/popup/rn/download/downloadPopup.jsp?from=plwindow&amp;uu=/upload/window/REPORT/LGH-TW20-055.pdf","1등급"),IF(X1235&lt;=1.2,HYPERLINK("http://www.lxhausys.co.kr/popup/rn/download/downloadPopup.jsp?from=plwindow&amp;uu=/upload/window/REPORT/LGH-TW20-055.pdf","2등급"),IF(X1235&lt;=1.8,HYPERLINK("http://www.lxhausys.co.kr/popup/rn/download/downloadPopup.jsp?from=plwindow&amp;uu=/upload/window/REPORT/LGH-TW20-055.pdf","3등급"),IF(X1235&lt;=2.3,HYPERLINK("http://www.lxhausys.co.kr/popup/rn/download/downloadPopup.jsp?from=plwindow&amp;uu=/upload/window/REPORT/LGH-TW20-055.pdf","4등급"),IF(X1235&lt;=2.8,HYPERLINK("http://www.lxhausys.co.kr/popup/rn/download/downloadPopup.jsp?from=plwindow&amp;uu=/upload/window/REPORT/LGH-TW20-055.pdf","5등급"),HYPERLINK("http://www.lxhausys.co.kr/popup/rn/download/downloadPopup.jsp?from=plwindow&amp;uu=/upload/window/REPORT/LGH-TW20-055.pdf","등급외"))))))</f>
        <v>2등급</v>
      </c>
      <c r="L1235" s="5">
        <v>0.93599999999999994</v>
      </c>
      <c r="M1235" s="5" t="s">
        <v>22</v>
      </c>
      <c r="N1235" s="5" t="s">
        <v>607</v>
      </c>
      <c r="O1235" s="5" t="s">
        <v>19</v>
      </c>
      <c r="P1235" s="5" t="s">
        <v>19</v>
      </c>
      <c r="Q1235" s="5" t="s">
        <v>19</v>
      </c>
      <c r="R1235" s="5" t="s">
        <v>19</v>
      </c>
      <c r="S1235" s="5" t="s">
        <v>19</v>
      </c>
      <c r="T1235" s="5" t="s">
        <v>19</v>
      </c>
      <c r="U1235" s="5" t="s">
        <v>19</v>
      </c>
      <c r="V1235" s="5" t="s">
        <v>19</v>
      </c>
      <c r="W1235" s="5" t="s">
        <v>19</v>
      </c>
      <c r="X1235" s="19">
        <f>L1235</f>
        <v>0.93599999999999994</v>
      </c>
    </row>
    <row r="1236" spans="1:24">
      <c r="A1236" t="s">
        <v>39</v>
      </c>
      <c r="B1236" t="s">
        <v>39</v>
      </c>
      <c r="C1236" t="s">
        <v>34</v>
      </c>
      <c r="D1236" t="s">
        <v>51</v>
      </c>
      <c r="E1236" t="s">
        <v>19</v>
      </c>
      <c r="F1236" t="s">
        <v>19</v>
      </c>
      <c r="G1236" t="s">
        <v>19</v>
      </c>
      <c r="H1236" t="s">
        <v>19</v>
      </c>
      <c r="I1236" t="s">
        <v>19</v>
      </c>
      <c r="J1236" t="s">
        <v>74</v>
      </c>
      <c r="K1236" s="21" t="s">
        <v>607</v>
      </c>
      <c r="L1236" s="5" t="s">
        <v>19</v>
      </c>
      <c r="M1236" s="5" t="s">
        <v>19</v>
      </c>
      <c r="N1236" s="5" t="str">
        <f>HYPERLINK("http://www.lghausys.co.kr/popup/rn/download/downloadPopup.jsp?from=plwindow&amp;uu=/upload/window/REPORT/LGH-TA20-287.pdf","0.987")</f>
        <v>0.987</v>
      </c>
      <c r="O1236" s="5" t="s">
        <v>19</v>
      </c>
      <c r="P1236" s="5" t="s">
        <v>19</v>
      </c>
      <c r="Q1236" s="5" t="s">
        <v>19</v>
      </c>
      <c r="R1236" s="5" t="s">
        <v>19</v>
      </c>
      <c r="S1236" s="5" t="s">
        <v>19</v>
      </c>
      <c r="T1236" s="5" t="s">
        <v>19</v>
      </c>
      <c r="U1236" s="5" t="s">
        <v>19</v>
      </c>
      <c r="V1236" s="5" t="s">
        <v>19</v>
      </c>
      <c r="W1236" s="5" t="s">
        <v>75</v>
      </c>
      <c r="X1236"/>
    </row>
    <row r="1237" spans="1:24">
      <c r="A1237" t="s">
        <v>449</v>
      </c>
      <c r="B1237" t="s">
        <v>449</v>
      </c>
      <c r="C1237" t="s">
        <v>31</v>
      </c>
      <c r="D1237" t="s">
        <v>116</v>
      </c>
      <c r="E1237" t="s">
        <v>19</v>
      </c>
      <c r="F1237" t="s">
        <v>19</v>
      </c>
      <c r="G1237" t="s">
        <v>19</v>
      </c>
      <c r="H1237" t="s">
        <v>19</v>
      </c>
      <c r="I1237" t="s">
        <v>19</v>
      </c>
      <c r="J1237" t="s">
        <v>74</v>
      </c>
      <c r="K1237" s="21" t="s">
        <v>607</v>
      </c>
      <c r="L1237" s="5" t="s">
        <v>19</v>
      </c>
      <c r="M1237" s="5" t="s">
        <v>19</v>
      </c>
      <c r="N1237" s="5" t="s">
        <v>19</v>
      </c>
      <c r="O1237" s="5" t="str">
        <f>HYPERLINK("http://www.lghausys.co.kr/popup/rn/download/downloadPopup.jsp?from=plwindow&amp;uu=/upload/window/REPORT/LGH-WA20-287.pdf","1등급")</f>
        <v>1등급</v>
      </c>
      <c r="P1237" s="5" t="s">
        <v>19</v>
      </c>
      <c r="Q1237" s="5" t="s">
        <v>19</v>
      </c>
      <c r="R1237" s="5" t="s">
        <v>19</v>
      </c>
      <c r="S1237" s="5" t="s">
        <v>19</v>
      </c>
      <c r="T1237" s="5" t="s">
        <v>19</v>
      </c>
      <c r="U1237" s="5" t="s">
        <v>19</v>
      </c>
      <c r="V1237" s="5" t="s">
        <v>19</v>
      </c>
      <c r="W1237" s="5" t="s">
        <v>152</v>
      </c>
      <c r="X1237"/>
    </row>
    <row r="1238" spans="1:24">
      <c r="A1238" t="s">
        <v>149</v>
      </c>
      <c r="B1238" t="s">
        <v>149</v>
      </c>
      <c r="C1238" t="s">
        <v>34</v>
      </c>
      <c r="D1238" t="s">
        <v>25</v>
      </c>
      <c r="E1238" t="s">
        <v>19</v>
      </c>
      <c r="F1238" t="s">
        <v>19</v>
      </c>
      <c r="G1238" t="s">
        <v>19</v>
      </c>
      <c r="H1238" t="s">
        <v>28</v>
      </c>
      <c r="I1238" t="s">
        <v>19</v>
      </c>
      <c r="J1238" t="s">
        <v>97</v>
      </c>
      <c r="K1238" s="21" t="s">
        <v>607</v>
      </c>
      <c r="L1238" s="5" t="s">
        <v>19</v>
      </c>
      <c r="M1238" s="5" t="s">
        <v>19</v>
      </c>
      <c r="N1238" s="5" t="str">
        <f>HYPERLINK("http://www.lghausys.co.kr/popup/rn/download/downloadPopup.jsp?from=plwindow&amp;uu=/upload/window/REPORT/LGH-TA20-288.pdf","1.1")</f>
        <v>1.1</v>
      </c>
      <c r="O1238" s="5" t="s">
        <v>19</v>
      </c>
      <c r="P1238" s="5" t="s">
        <v>19</v>
      </c>
      <c r="Q1238" s="5" t="s">
        <v>19</v>
      </c>
      <c r="R1238" s="5" t="s">
        <v>19</v>
      </c>
      <c r="S1238" s="5" t="s">
        <v>19</v>
      </c>
      <c r="T1238" s="5" t="s">
        <v>19</v>
      </c>
      <c r="U1238" s="5" t="s">
        <v>19</v>
      </c>
      <c r="V1238" s="5" t="s">
        <v>19</v>
      </c>
      <c r="W1238" s="5" t="s">
        <v>75</v>
      </c>
      <c r="X1238"/>
    </row>
    <row r="1239" spans="1:24">
      <c r="A1239" t="s">
        <v>30</v>
      </c>
      <c r="B1239" t="s">
        <v>30</v>
      </c>
      <c r="C1239" t="s">
        <v>14</v>
      </c>
      <c r="D1239" t="s">
        <v>68</v>
      </c>
      <c r="E1239" t="s">
        <v>19</v>
      </c>
      <c r="F1239" t="s">
        <v>19</v>
      </c>
      <c r="G1239" t="s">
        <v>19</v>
      </c>
      <c r="H1239" t="s">
        <v>76</v>
      </c>
      <c r="I1239" t="s">
        <v>19</v>
      </c>
      <c r="J1239" t="s">
        <v>145</v>
      </c>
      <c r="K1239" s="21" t="s">
        <v>607</v>
      </c>
      <c r="L1239" s="5" t="s">
        <v>19</v>
      </c>
      <c r="M1239" s="5" t="s">
        <v>19</v>
      </c>
      <c r="N1239" s="5" t="s">
        <v>19</v>
      </c>
      <c r="O1239" s="5" t="s">
        <v>19</v>
      </c>
      <c r="P1239" s="5" t="s">
        <v>19</v>
      </c>
      <c r="Q1239" s="5" t="s">
        <v>19</v>
      </c>
      <c r="R1239" s="5" t="s">
        <v>19</v>
      </c>
      <c r="S1239" s="5" t="s">
        <v>19</v>
      </c>
      <c r="T1239" s="5" t="str">
        <f>HYPERLINK("http://www.lghausys.co.kr/popup/rn/download/downloadPopup.jsp?from=plwindow&amp;uu=/upload/window/REPORT/LGH-DA20-050.pdf","결로발생없음")</f>
        <v>결로발생없음</v>
      </c>
      <c r="U1239" s="5" t="s">
        <v>19</v>
      </c>
      <c r="V1239" s="5" t="s">
        <v>19</v>
      </c>
      <c r="W1239" s="5" t="s">
        <v>75</v>
      </c>
      <c r="X1239"/>
    </row>
    <row r="1240" spans="1:24">
      <c r="A1240" t="s">
        <v>73</v>
      </c>
      <c r="B1240" t="s">
        <v>73</v>
      </c>
      <c r="C1240" t="s">
        <v>13</v>
      </c>
      <c r="D1240" t="s">
        <v>21</v>
      </c>
      <c r="E1240" t="s">
        <v>19</v>
      </c>
      <c r="F1240" t="s">
        <v>19</v>
      </c>
      <c r="G1240" t="s">
        <v>19</v>
      </c>
      <c r="H1240" t="s">
        <v>21</v>
      </c>
      <c r="I1240" t="s">
        <v>19</v>
      </c>
      <c r="J1240" t="s">
        <v>74</v>
      </c>
      <c r="K1240" s="21" t="s">
        <v>607</v>
      </c>
      <c r="L1240" s="5" t="s">
        <v>19</v>
      </c>
      <c r="M1240" s="5" t="s">
        <v>19</v>
      </c>
      <c r="N1240" s="5" t="s">
        <v>19</v>
      </c>
      <c r="O1240" s="5" t="s">
        <v>19</v>
      </c>
      <c r="P1240" s="5" t="s">
        <v>19</v>
      </c>
      <c r="Q1240" s="5" t="s">
        <v>19</v>
      </c>
      <c r="R1240" s="5" t="s">
        <v>19</v>
      </c>
      <c r="S1240" s="5" t="str">
        <f>HYPERLINK("http://www.lghausys.co.kr/popup/rn/download/downloadPopup.jsp?from=plwindow&amp;uu=/upload/window/REPORT/LGH-DA20-051.pdf","결로발생없음")</f>
        <v>결로발생없음</v>
      </c>
      <c r="T1240" s="5" t="s">
        <v>19</v>
      </c>
      <c r="U1240" s="5" t="s">
        <v>19</v>
      </c>
      <c r="V1240" s="5" t="s">
        <v>19</v>
      </c>
      <c r="W1240" s="5" t="s">
        <v>75</v>
      </c>
      <c r="X1240"/>
    </row>
    <row r="1241" spans="1:24">
      <c r="A1241" t="s">
        <v>73</v>
      </c>
      <c r="B1241" t="s">
        <v>73</v>
      </c>
      <c r="C1241" t="s">
        <v>14</v>
      </c>
      <c r="D1241" t="s">
        <v>270</v>
      </c>
      <c r="E1241" t="s">
        <v>19</v>
      </c>
      <c r="F1241" t="s">
        <v>19</v>
      </c>
      <c r="G1241" t="s">
        <v>19</v>
      </c>
      <c r="H1241" t="s">
        <v>165</v>
      </c>
      <c r="I1241" t="s">
        <v>19</v>
      </c>
      <c r="J1241" t="s">
        <v>99</v>
      </c>
      <c r="K1241" s="21" t="s">
        <v>607</v>
      </c>
      <c r="L1241" s="5" t="s">
        <v>19</v>
      </c>
      <c r="M1241" s="5" t="s">
        <v>19</v>
      </c>
      <c r="N1241" s="5" t="s">
        <v>19</v>
      </c>
      <c r="O1241" s="5" t="s">
        <v>19</v>
      </c>
      <c r="P1241" s="5" t="s">
        <v>19</v>
      </c>
      <c r="Q1241" s="5" t="s">
        <v>19</v>
      </c>
      <c r="R1241" s="5" t="s">
        <v>19</v>
      </c>
      <c r="S1241" s="5" t="s">
        <v>19</v>
      </c>
      <c r="T1241" s="5" t="str">
        <f>HYPERLINK("http://www.lghausys.co.kr/popup/rn/download/downloadPopup.jsp?from=plwindow&amp;uu=/upload/window/REPORT/LGH-DA20-052.pdf","결로발생없음")</f>
        <v>결로발생없음</v>
      </c>
      <c r="U1241" s="5" t="s">
        <v>19</v>
      </c>
      <c r="V1241" s="5" t="s">
        <v>19</v>
      </c>
      <c r="W1241" s="5" t="s">
        <v>75</v>
      </c>
      <c r="X1241"/>
    </row>
    <row r="1242" spans="1:24">
      <c r="A1242" t="s">
        <v>73</v>
      </c>
      <c r="B1242" t="s">
        <v>73</v>
      </c>
      <c r="C1242" t="s">
        <v>15</v>
      </c>
      <c r="D1242" t="s">
        <v>28</v>
      </c>
      <c r="E1242" t="s">
        <v>19</v>
      </c>
      <c r="F1242" t="s">
        <v>19</v>
      </c>
      <c r="G1242" t="s">
        <v>19</v>
      </c>
      <c r="H1242" t="s">
        <v>28</v>
      </c>
      <c r="I1242" t="s">
        <v>19</v>
      </c>
      <c r="J1242" t="s">
        <v>99</v>
      </c>
      <c r="K1242" s="21" t="s">
        <v>607</v>
      </c>
      <c r="L1242" s="5" t="s">
        <v>19</v>
      </c>
      <c r="M1242" s="5" t="s">
        <v>19</v>
      </c>
      <c r="N1242" s="5" t="s">
        <v>19</v>
      </c>
      <c r="O1242" s="5" t="s">
        <v>19</v>
      </c>
      <c r="P1242" s="5" t="s">
        <v>19</v>
      </c>
      <c r="Q1242" s="5" t="s">
        <v>19</v>
      </c>
      <c r="R1242" s="5" t="s">
        <v>19</v>
      </c>
      <c r="S1242" s="5" t="s">
        <v>19</v>
      </c>
      <c r="T1242" s="5" t="s">
        <v>19</v>
      </c>
      <c r="U1242" s="5" t="str">
        <f>HYPERLINK("http://www.lghausys.co.kr/popup/rn/download/downloadPopup.jsp?from=plwindow&amp;uu=/upload/window/REPORT/LGH-DA20-053.pdf","결로발생없음")</f>
        <v>결로발생없음</v>
      </c>
      <c r="V1242" s="5" t="s">
        <v>19</v>
      </c>
      <c r="W1242" s="5" t="s">
        <v>75</v>
      </c>
      <c r="X1242"/>
    </row>
    <row r="1243" spans="1:24">
      <c r="A1243" t="s">
        <v>144</v>
      </c>
      <c r="B1243" t="s">
        <v>144</v>
      </c>
      <c r="C1243" t="s">
        <v>31</v>
      </c>
      <c r="D1243" t="s">
        <v>25</v>
      </c>
      <c r="E1243" t="s">
        <v>19</v>
      </c>
      <c r="F1243" t="s">
        <v>19</v>
      </c>
      <c r="G1243" t="s">
        <v>19</v>
      </c>
      <c r="H1243" t="s">
        <v>25</v>
      </c>
      <c r="I1243" t="s">
        <v>19</v>
      </c>
      <c r="J1243" t="s">
        <v>74</v>
      </c>
      <c r="K1243" s="21" t="s">
        <v>607</v>
      </c>
      <c r="L1243" s="5" t="s">
        <v>19</v>
      </c>
      <c r="M1243" s="5" t="s">
        <v>19</v>
      </c>
      <c r="N1243" s="5" t="s">
        <v>19</v>
      </c>
      <c r="O1243" s="5" t="str">
        <f>HYPERLINK("http://www.lghausys.co.kr/popup/rn/download/downloadPopup.jsp?from=plwindow&amp;uu=/upload/window/REPORT/LGH-WA20-288.pdf","1등급")</f>
        <v>1등급</v>
      </c>
      <c r="P1243" s="5" t="s">
        <v>19</v>
      </c>
      <c r="Q1243" s="5" t="s">
        <v>19</v>
      </c>
      <c r="R1243" s="5" t="s">
        <v>19</v>
      </c>
      <c r="S1243" s="5" t="s">
        <v>19</v>
      </c>
      <c r="T1243" s="5" t="s">
        <v>19</v>
      </c>
      <c r="U1243" s="5" t="s">
        <v>19</v>
      </c>
      <c r="V1243" s="5" t="s">
        <v>19</v>
      </c>
      <c r="W1243" s="5" t="s">
        <v>152</v>
      </c>
      <c r="X1243"/>
    </row>
    <row r="1244" spans="1:24">
      <c r="A1244" t="s">
        <v>144</v>
      </c>
      <c r="B1244" t="s">
        <v>144</v>
      </c>
      <c r="C1244" t="s">
        <v>31</v>
      </c>
      <c r="D1244" t="s">
        <v>28</v>
      </c>
      <c r="E1244" t="s">
        <v>19</v>
      </c>
      <c r="F1244" t="s">
        <v>19</v>
      </c>
      <c r="G1244" t="s">
        <v>19</v>
      </c>
      <c r="H1244" t="s">
        <v>479</v>
      </c>
      <c r="I1244" t="s">
        <v>19</v>
      </c>
      <c r="J1244" t="s">
        <v>167</v>
      </c>
      <c r="K1244" s="21" t="s">
        <v>607</v>
      </c>
      <c r="L1244" s="5" t="s">
        <v>19</v>
      </c>
      <c r="M1244" s="5" t="s">
        <v>19</v>
      </c>
      <c r="N1244" s="5" t="s">
        <v>19</v>
      </c>
      <c r="O1244" s="5" t="str">
        <f>HYPERLINK("http://www.lghausys.co.kr/popup/rn/download/downloadPopup.jsp?from=plwindow&amp;uu=/upload/window/REPORT/LGH-WA20-289.pdf","1등급")</f>
        <v>1등급</v>
      </c>
      <c r="P1244" s="5" t="s">
        <v>19</v>
      </c>
      <c r="Q1244" s="5" t="s">
        <v>19</v>
      </c>
      <c r="R1244" s="5" t="s">
        <v>19</v>
      </c>
      <c r="S1244" s="5" t="s">
        <v>19</v>
      </c>
      <c r="T1244" s="5" t="s">
        <v>19</v>
      </c>
      <c r="U1244" s="5" t="s">
        <v>19</v>
      </c>
      <c r="V1244" s="5" t="s">
        <v>19</v>
      </c>
      <c r="W1244" s="5" t="s">
        <v>152</v>
      </c>
      <c r="X1244"/>
    </row>
    <row r="1245" spans="1:24">
      <c r="A1245" t="s">
        <v>30</v>
      </c>
      <c r="B1245" t="s">
        <v>30</v>
      </c>
      <c r="C1245" t="s">
        <v>31</v>
      </c>
      <c r="D1245" t="s">
        <v>68</v>
      </c>
      <c r="E1245" t="s">
        <v>19</v>
      </c>
      <c r="F1245" t="s">
        <v>19</v>
      </c>
      <c r="G1245" t="s">
        <v>19</v>
      </c>
      <c r="H1245" t="s">
        <v>76</v>
      </c>
      <c r="I1245" t="s">
        <v>19</v>
      </c>
      <c r="J1245" t="s">
        <v>145</v>
      </c>
      <c r="K1245" s="21" t="s">
        <v>607</v>
      </c>
      <c r="L1245" s="5" t="s">
        <v>19</v>
      </c>
      <c r="M1245" s="5" t="s">
        <v>19</v>
      </c>
      <c r="N1245" s="5" t="s">
        <v>19</v>
      </c>
      <c r="O1245" s="5" t="str">
        <f>HYPERLINK("http://www.lghausys.co.kr/popup/rn/download/downloadPopup.jsp?from=plwindow&amp;uu=/upload/window/REPORT/LGH-WA20-290.pdf","1등급")</f>
        <v>1등급</v>
      </c>
      <c r="P1245" s="5" t="str">
        <f>HYPERLINK("http://www.lghausys.co.kr/popup/rn/download/downloadPopup.jsp?from=plwindow&amp;uu=/upload/window/REPORT/LGH-WA20-290.pdf","50등급")</f>
        <v>50등급</v>
      </c>
      <c r="Q1245" s="5" t="str">
        <f>HYPERLINK("http://www.lghausys.co.kr/popup/rn/download/downloadPopup.jsp?from=plwindow&amp;uu=/upload/window/REPORT/LGH-WA20-290.pdf","400등급")</f>
        <v>400등급</v>
      </c>
      <c r="R1245" s="5" t="s">
        <v>19</v>
      </c>
      <c r="S1245" s="5" t="s">
        <v>19</v>
      </c>
      <c r="T1245" s="5" t="s">
        <v>19</v>
      </c>
      <c r="U1245" s="5" t="s">
        <v>19</v>
      </c>
      <c r="V1245" s="5" t="s">
        <v>19</v>
      </c>
      <c r="W1245" s="5" t="s">
        <v>152</v>
      </c>
      <c r="X1245"/>
    </row>
    <row r="1246" spans="1:24">
      <c r="A1246" t="s">
        <v>125</v>
      </c>
      <c r="B1246" t="s">
        <v>125</v>
      </c>
      <c r="C1246" t="s">
        <v>31</v>
      </c>
      <c r="D1246" t="s">
        <v>28</v>
      </c>
      <c r="E1246" t="s">
        <v>19</v>
      </c>
      <c r="F1246" t="s">
        <v>19</v>
      </c>
      <c r="G1246" t="s">
        <v>19</v>
      </c>
      <c r="H1246" t="s">
        <v>19</v>
      </c>
      <c r="I1246" t="s">
        <v>19</v>
      </c>
      <c r="J1246" t="s">
        <v>145</v>
      </c>
      <c r="K1246" s="21" t="s">
        <v>607</v>
      </c>
      <c r="L1246" s="5" t="s">
        <v>19</v>
      </c>
      <c r="M1246" s="5" t="s">
        <v>19</v>
      </c>
      <c r="N1246" s="5" t="s">
        <v>19</v>
      </c>
      <c r="O1246" s="5" t="str">
        <f>HYPERLINK("http://www.lghausys.co.kr/popup/rn/download/downloadPopup.jsp?from=plwindow&amp;uu=/upload/window/REPORT/LGH-WA20-291.pdf","2등급")</f>
        <v>2등급</v>
      </c>
      <c r="P1246" s="5" t="str">
        <f>HYPERLINK("http://www.lghausys.co.kr/popup/rn/download/downloadPopup.jsp?from=plwindow&amp;uu=/upload/window/REPORT/LGH-WA20-291.pdf","15등급")</f>
        <v>15등급</v>
      </c>
      <c r="Q1246" s="5" t="str">
        <f>HYPERLINK("http://www.lghausys.co.kr/popup/rn/download/downloadPopup.jsp?from=plwindow&amp;uu=/upload/window/REPORT/LGH-WA20-291.pdf","240등급")</f>
        <v>240등급</v>
      </c>
      <c r="R1246" s="5" t="s">
        <v>19</v>
      </c>
      <c r="S1246" s="5" t="s">
        <v>19</v>
      </c>
      <c r="T1246" s="5" t="s">
        <v>19</v>
      </c>
      <c r="U1246" s="5" t="s">
        <v>19</v>
      </c>
      <c r="V1246" s="5" t="s">
        <v>19</v>
      </c>
      <c r="W1246" s="5" t="s">
        <v>152</v>
      </c>
      <c r="X1246"/>
    </row>
    <row r="1247" spans="1:24">
      <c r="A1247" t="s">
        <v>52</v>
      </c>
      <c r="B1247" t="s">
        <v>52</v>
      </c>
      <c r="C1247" t="s">
        <v>31</v>
      </c>
      <c r="D1247" t="s">
        <v>68</v>
      </c>
      <c r="E1247" t="s">
        <v>19</v>
      </c>
      <c r="F1247" t="s">
        <v>19</v>
      </c>
      <c r="G1247" t="s">
        <v>19</v>
      </c>
      <c r="H1247" t="s">
        <v>76</v>
      </c>
      <c r="I1247" t="s">
        <v>19</v>
      </c>
      <c r="J1247" t="s">
        <v>145</v>
      </c>
      <c r="K1247" s="21" t="s">
        <v>607</v>
      </c>
      <c r="L1247" s="5" t="s">
        <v>19</v>
      </c>
      <c r="M1247" s="5" t="s">
        <v>19</v>
      </c>
      <c r="N1247" s="5" t="s">
        <v>19</v>
      </c>
      <c r="O1247" s="5" t="str">
        <f>HYPERLINK("http://www.lghausys.co.kr/popup/rn/download/downloadPopup.jsp?from=plwindow&amp;uu=/upload/window/REPORT/LGH-WA20-292.pdf","1등급")</f>
        <v>1등급</v>
      </c>
      <c r="P1247" s="5" t="str">
        <f>HYPERLINK("http://www.lghausys.co.kr/popup/rn/download/downloadPopup.jsp?from=plwindow&amp;uu=/upload/window/REPORT/LGH-WA20-292.pdf","50등급")</f>
        <v>50등급</v>
      </c>
      <c r="Q1247" s="5" t="str">
        <f>HYPERLINK("http://www.lghausys.co.kr/popup/rn/download/downloadPopup.jsp?from=plwindow&amp;uu=/upload/window/REPORT/LGH-WA20-292.pdf","400등급")</f>
        <v>400등급</v>
      </c>
      <c r="R1247" s="5" t="s">
        <v>19</v>
      </c>
      <c r="S1247" s="5" t="s">
        <v>19</v>
      </c>
      <c r="T1247" s="5" t="s">
        <v>19</v>
      </c>
      <c r="U1247" s="5" t="s">
        <v>19</v>
      </c>
      <c r="V1247" s="5" t="s">
        <v>19</v>
      </c>
      <c r="W1247" s="5" t="s">
        <v>152</v>
      </c>
      <c r="X1247"/>
    </row>
    <row r="1248" spans="1:24">
      <c r="A1248" t="s">
        <v>139</v>
      </c>
      <c r="B1248" t="s">
        <v>139</v>
      </c>
      <c r="C1248" t="s">
        <v>31</v>
      </c>
      <c r="D1248" t="s">
        <v>68</v>
      </c>
      <c r="E1248" t="s">
        <v>487</v>
      </c>
      <c r="F1248" t="s">
        <v>19</v>
      </c>
      <c r="G1248" t="s">
        <v>182</v>
      </c>
      <c r="H1248" t="s">
        <v>76</v>
      </c>
      <c r="I1248" t="s">
        <v>19</v>
      </c>
      <c r="J1248" t="s">
        <v>145</v>
      </c>
      <c r="K1248" s="21" t="s">
        <v>607</v>
      </c>
      <c r="L1248" s="5" t="s">
        <v>19</v>
      </c>
      <c r="M1248" s="5" t="s">
        <v>19</v>
      </c>
      <c r="N1248" s="5" t="s">
        <v>19</v>
      </c>
      <c r="O1248" s="5" t="str">
        <f>HYPERLINK("http://www.lghausys.co.kr/popup/rn/download/downloadPopup.jsp?from=plwindow&amp;uu=/upload/window/REPORT/LGH-WA20-293.pdf","1등급")</f>
        <v>1등급</v>
      </c>
      <c r="P1248" s="5" t="str">
        <f>HYPERLINK("http://www.lghausys.co.kr/popup/rn/download/downloadPopup.jsp?from=plwindow&amp;uu=/upload/window/REPORT/LGH-WA20-293.pdf","50등급")</f>
        <v>50등급</v>
      </c>
      <c r="Q1248" s="5" t="str">
        <f>HYPERLINK("http://www.lghausys.co.kr/popup/rn/download/downloadPopup.jsp?from=plwindow&amp;uu=/upload/window/REPORT/LGH-WA20-293.pdf","400등급")</f>
        <v>400등급</v>
      </c>
      <c r="R1248" s="5" t="s">
        <v>19</v>
      </c>
      <c r="S1248" s="5" t="s">
        <v>19</v>
      </c>
      <c r="T1248" s="5" t="s">
        <v>19</v>
      </c>
      <c r="U1248" s="5" t="s">
        <v>19</v>
      </c>
      <c r="V1248" s="5" t="s">
        <v>19</v>
      </c>
      <c r="W1248" s="5" t="s">
        <v>152</v>
      </c>
      <c r="X1248"/>
    </row>
    <row r="1249" spans="1:24">
      <c r="A1249" t="s">
        <v>61</v>
      </c>
      <c r="B1249" t="s">
        <v>61</v>
      </c>
      <c r="C1249" t="s">
        <v>31</v>
      </c>
      <c r="D1249" t="s">
        <v>28</v>
      </c>
      <c r="E1249" t="s">
        <v>19</v>
      </c>
      <c r="F1249" t="s">
        <v>19</v>
      </c>
      <c r="G1249" t="s">
        <v>19</v>
      </c>
      <c r="H1249" t="s">
        <v>19</v>
      </c>
      <c r="I1249" t="s">
        <v>19</v>
      </c>
      <c r="J1249" t="s">
        <v>99</v>
      </c>
      <c r="K1249" s="21" t="s">
        <v>607</v>
      </c>
      <c r="L1249" s="5" t="s">
        <v>19</v>
      </c>
      <c r="M1249" s="5" t="s">
        <v>19</v>
      </c>
      <c r="N1249" s="5" t="s">
        <v>19</v>
      </c>
      <c r="O1249" s="5" t="str">
        <f>HYPERLINK("http://www.lghausys.co.kr/popup/rn/download/downloadPopup.jsp?from=plwindow&amp;uu=/upload/window/REPORT/LGH-WA20-294.pdf","2등급")</f>
        <v>2등급</v>
      </c>
      <c r="P1249" s="5" t="str">
        <f>HYPERLINK("http://www.lghausys.co.kr/popup/rn/download/downloadPopup.jsp?from=plwindow&amp;uu=/upload/window/REPORT/LGH-WA20-294.pdf","15등급")</f>
        <v>15등급</v>
      </c>
      <c r="Q1249" s="5" t="str">
        <f>HYPERLINK("http://www.lghausys.co.kr/popup/rn/download/downloadPopup.jsp?from=plwindow&amp;uu=/upload/window/REPORT/LGH-WA20-294.pdf","240등급")</f>
        <v>240등급</v>
      </c>
      <c r="R1249" s="5" t="s">
        <v>19</v>
      </c>
      <c r="S1249" s="5" t="s">
        <v>19</v>
      </c>
      <c r="T1249" s="5" t="s">
        <v>19</v>
      </c>
      <c r="U1249" s="5" t="s">
        <v>19</v>
      </c>
      <c r="V1249" s="5" t="s">
        <v>19</v>
      </c>
      <c r="W1249" s="5" t="s">
        <v>152</v>
      </c>
      <c r="X1249"/>
    </row>
    <row r="1250" spans="1:24">
      <c r="A1250" t="s">
        <v>73</v>
      </c>
      <c r="B1250" t="s">
        <v>73</v>
      </c>
      <c r="C1250" t="s">
        <v>31</v>
      </c>
      <c r="D1250" t="s">
        <v>25</v>
      </c>
      <c r="E1250" t="s">
        <v>19</v>
      </c>
      <c r="F1250" t="s">
        <v>19</v>
      </c>
      <c r="G1250" t="s">
        <v>19</v>
      </c>
      <c r="H1250" t="s">
        <v>28</v>
      </c>
      <c r="I1250" t="s">
        <v>19</v>
      </c>
      <c r="J1250" t="s">
        <v>99</v>
      </c>
      <c r="K1250" s="21" t="s">
        <v>607</v>
      </c>
      <c r="L1250" s="5" t="s">
        <v>19</v>
      </c>
      <c r="M1250" s="5" t="s">
        <v>19</v>
      </c>
      <c r="N1250" s="5" t="s">
        <v>19</v>
      </c>
      <c r="O1250" s="5" t="str">
        <f>HYPERLINK("http://www.lghausys.co.kr/popup/rn/download/downloadPopup.jsp?from=plwindow&amp;uu=/upload/window/REPORT/LGH-WA20-295.pdf","1등급")</f>
        <v>1등급</v>
      </c>
      <c r="P1250" s="5" t="str">
        <f>HYPERLINK("http://www.lghausys.co.kr/popup/rn/download/downloadPopup.jsp?from=plwindow&amp;uu=/upload/window/REPORT/LGH-WA20-295.pdf","50등급")</f>
        <v>50등급</v>
      </c>
      <c r="Q1250" s="5" t="str">
        <f>HYPERLINK("http://www.lghausys.co.kr/popup/rn/download/downloadPopup.jsp?from=plwindow&amp;uu=/upload/window/REPORT/LGH-WA20-295.pdf","360등급")</f>
        <v>360등급</v>
      </c>
      <c r="R1250" s="5" t="s">
        <v>19</v>
      </c>
      <c r="S1250" s="5" t="s">
        <v>19</v>
      </c>
      <c r="T1250" s="5" t="s">
        <v>19</v>
      </c>
      <c r="U1250" s="5" t="s">
        <v>19</v>
      </c>
      <c r="V1250" s="5" t="s">
        <v>19</v>
      </c>
      <c r="W1250" s="5" t="s">
        <v>152</v>
      </c>
      <c r="X1250"/>
    </row>
    <row r="1251" spans="1:24">
      <c r="A1251" t="s">
        <v>125</v>
      </c>
      <c r="B1251" t="s">
        <v>125</v>
      </c>
      <c r="C1251" t="s">
        <v>31</v>
      </c>
      <c r="D1251" t="s">
        <v>28</v>
      </c>
      <c r="E1251" t="s">
        <v>19</v>
      </c>
      <c r="F1251" t="s">
        <v>19</v>
      </c>
      <c r="G1251" t="s">
        <v>19</v>
      </c>
      <c r="H1251" t="s">
        <v>19</v>
      </c>
      <c r="I1251" t="s">
        <v>19</v>
      </c>
      <c r="J1251" t="s">
        <v>97</v>
      </c>
      <c r="K1251" s="21" t="s">
        <v>607</v>
      </c>
      <c r="L1251" s="5" t="s">
        <v>19</v>
      </c>
      <c r="M1251" s="5" t="s">
        <v>19</v>
      </c>
      <c r="N1251" s="5" t="s">
        <v>19</v>
      </c>
      <c r="O1251" s="5" t="str">
        <f>HYPERLINK("http://www.lghausys.co.kr/popup/rn/download/downloadPopup.jsp?from=plwindow&amp;uu=/upload/window/REPORT/LGH-WA20-296.pdf","2등급")</f>
        <v>2등급</v>
      </c>
      <c r="P1251" s="5" t="str">
        <f>HYPERLINK("http://www.lghausys.co.kr/popup/rn/download/downloadPopup.jsp?from=plwindow&amp;uu=/upload/window/REPORT/LGH-WA20-296.pdf","15등급")</f>
        <v>15등급</v>
      </c>
      <c r="Q1251" s="5" t="str">
        <f>HYPERLINK("http://www.lghausys.co.kr/popup/rn/download/downloadPopup.jsp?from=plwindow&amp;uu=/upload/window/REPORT/LGH-WA20-296.pdf","240등급")</f>
        <v>240등급</v>
      </c>
      <c r="R1251" s="5" t="s">
        <v>19</v>
      </c>
      <c r="S1251" s="5" t="s">
        <v>19</v>
      </c>
      <c r="T1251" s="5" t="s">
        <v>19</v>
      </c>
      <c r="U1251" s="5" t="s">
        <v>19</v>
      </c>
      <c r="V1251" s="5" t="s">
        <v>19</v>
      </c>
      <c r="W1251" s="5" t="s">
        <v>152</v>
      </c>
      <c r="X1251"/>
    </row>
    <row r="1252" spans="1:24">
      <c r="A1252" t="s">
        <v>130</v>
      </c>
      <c r="B1252" t="s">
        <v>130</v>
      </c>
      <c r="C1252" t="s">
        <v>34</v>
      </c>
      <c r="D1252" t="s">
        <v>488</v>
      </c>
      <c r="E1252" t="s">
        <v>19</v>
      </c>
      <c r="F1252" t="s">
        <v>19</v>
      </c>
      <c r="G1252" t="s">
        <v>19</v>
      </c>
      <c r="H1252" t="s">
        <v>19</v>
      </c>
      <c r="I1252" t="s">
        <v>19</v>
      </c>
      <c r="J1252" t="s">
        <v>489</v>
      </c>
      <c r="K1252" s="21" t="s">
        <v>607</v>
      </c>
      <c r="L1252" s="5" t="s">
        <v>19</v>
      </c>
      <c r="M1252" s="5" t="s">
        <v>19</v>
      </c>
      <c r="N1252" s="5" t="str">
        <f>HYPERLINK("http://www.lghausys.co.kr/popup/rn/download/downloadPopup.jsp?from=plwindow&amp;uu=/upload/window/REPORT/LGH-TA20-294.pdf","1.866")</f>
        <v>1.866</v>
      </c>
      <c r="O1252" s="5" t="s">
        <v>19</v>
      </c>
      <c r="P1252" s="5" t="s">
        <v>19</v>
      </c>
      <c r="Q1252" s="5" t="s">
        <v>19</v>
      </c>
      <c r="R1252" s="5" t="s">
        <v>19</v>
      </c>
      <c r="S1252" s="5" t="s">
        <v>19</v>
      </c>
      <c r="T1252" s="5" t="s">
        <v>19</v>
      </c>
      <c r="U1252" s="5" t="s">
        <v>19</v>
      </c>
      <c r="V1252" s="5" t="s">
        <v>19</v>
      </c>
      <c r="W1252" s="5" t="s">
        <v>75</v>
      </c>
      <c r="X1252"/>
    </row>
    <row r="1253" spans="1:24">
      <c r="A1253" t="s">
        <v>250</v>
      </c>
      <c r="B1253" t="s">
        <v>250</v>
      </c>
      <c r="C1253" t="s">
        <v>277</v>
      </c>
      <c r="D1253" t="s">
        <v>19</v>
      </c>
      <c r="E1253" t="s">
        <v>19</v>
      </c>
      <c r="F1253" t="s">
        <v>19</v>
      </c>
      <c r="G1253" t="s">
        <v>490</v>
      </c>
      <c r="H1253" t="s">
        <v>19</v>
      </c>
      <c r="I1253" t="s">
        <v>19</v>
      </c>
      <c r="J1253" t="s">
        <v>19</v>
      </c>
      <c r="K1253" s="21" t="s">
        <v>607</v>
      </c>
      <c r="L1253" s="5" t="s">
        <v>19</v>
      </c>
      <c r="M1253" s="5" t="s">
        <v>19</v>
      </c>
      <c r="N1253" s="5" t="s">
        <v>19</v>
      </c>
      <c r="O1253" s="5" t="s">
        <v>19</v>
      </c>
      <c r="P1253" s="5" t="s">
        <v>19</v>
      </c>
      <c r="Q1253" s="5" t="s">
        <v>19</v>
      </c>
      <c r="R1253" s="5" t="s">
        <v>19</v>
      </c>
      <c r="S1253" s="5" t="s">
        <v>19</v>
      </c>
      <c r="T1253" s="5" t="s">
        <v>19</v>
      </c>
      <c r="U1253" s="5" t="s">
        <v>19</v>
      </c>
      <c r="V1253" s="5" t="s">
        <v>19</v>
      </c>
      <c r="W1253" s="5" t="s">
        <v>19</v>
      </c>
      <c r="X1253"/>
    </row>
    <row r="1254" spans="1:24">
      <c r="A1254" t="s">
        <v>281</v>
      </c>
      <c r="B1254" t="s">
        <v>281</v>
      </c>
      <c r="C1254" t="s">
        <v>20</v>
      </c>
      <c r="D1254" t="s">
        <v>228</v>
      </c>
      <c r="E1254" t="s">
        <v>19</v>
      </c>
      <c r="F1254" t="s">
        <v>28</v>
      </c>
      <c r="G1254" t="s">
        <v>182</v>
      </c>
      <c r="H1254" t="s">
        <v>28</v>
      </c>
      <c r="I1254" t="s">
        <v>19</v>
      </c>
      <c r="J1254" t="s">
        <v>74</v>
      </c>
      <c r="K1254" s="21" t="str">
        <f>IF(X1254&lt;=0.9,HYPERLINK("http://www.lxhausys.co.kr/popup/rn/download/downloadPopup.jsp?from=plwindow&amp;uu=/upload/window/REPORT/LGH-TW20-056.pdf","1등급"),IF(X1254&lt;=1.2,HYPERLINK("http://www.lxhausys.co.kr/popup/rn/download/downloadPopup.jsp?from=plwindow&amp;uu=/upload/window/REPORT/LGH-TW20-056.pdf","2등급"),IF(X1254&lt;=1.8,HYPERLINK("http://www.lxhausys.co.kr/popup/rn/download/downloadPopup.jsp?from=plwindow&amp;uu=/upload/window/REPORT/LGH-TW20-056.pdf","3등급"),IF(X1254&lt;=2.3,HYPERLINK("http://www.lxhausys.co.kr/popup/rn/download/downloadPopup.jsp?from=plwindow&amp;uu=/upload/window/REPORT/LGH-TW20-056.pdf","4등급"),IF(X1254&lt;=2.8,HYPERLINK("http://www.lxhausys.co.kr/popup/rn/download/downloadPopup.jsp?from=plwindow&amp;uu=/upload/window/REPORT/LGH-TW20-056.pdf","5등급"),HYPERLINK("http://www.lxhausys.co.kr/popup/rn/download/downloadPopup.jsp?from=plwindow&amp;uu=/upload/window/REPORT/LGH-TW20-056.pdf","등급외"))))))</f>
        <v>2등급</v>
      </c>
      <c r="L1254" s="5">
        <v>0.90700000000000003</v>
      </c>
      <c r="M1254" s="5" t="s">
        <v>491</v>
      </c>
      <c r="N1254" s="5" t="s">
        <v>607</v>
      </c>
      <c r="O1254" s="5" t="s">
        <v>19</v>
      </c>
      <c r="P1254" s="5" t="s">
        <v>19</v>
      </c>
      <c r="Q1254" s="5" t="s">
        <v>19</v>
      </c>
      <c r="R1254" s="5" t="s">
        <v>19</v>
      </c>
      <c r="S1254" s="5" t="s">
        <v>19</v>
      </c>
      <c r="T1254" s="5" t="s">
        <v>19</v>
      </c>
      <c r="U1254" s="5" t="s">
        <v>19</v>
      </c>
      <c r="V1254" s="5" t="s">
        <v>19</v>
      </c>
      <c r="W1254" s="5" t="s">
        <v>75</v>
      </c>
      <c r="X1254" s="19">
        <f>L1254</f>
        <v>0.90700000000000003</v>
      </c>
    </row>
    <row r="1255" spans="1:24">
      <c r="A1255" t="s">
        <v>52</v>
      </c>
      <c r="B1255" t="s">
        <v>52</v>
      </c>
      <c r="C1255" t="s">
        <v>14</v>
      </c>
      <c r="D1255" t="s">
        <v>68</v>
      </c>
      <c r="E1255" t="s">
        <v>19</v>
      </c>
      <c r="F1255" t="s">
        <v>19</v>
      </c>
      <c r="G1255" t="s">
        <v>19</v>
      </c>
      <c r="H1255" t="s">
        <v>76</v>
      </c>
      <c r="I1255" t="s">
        <v>19</v>
      </c>
      <c r="J1255" t="s">
        <v>145</v>
      </c>
      <c r="K1255" s="21" t="s">
        <v>607</v>
      </c>
      <c r="L1255" s="5" t="s">
        <v>19</v>
      </c>
      <c r="M1255" s="5" t="s">
        <v>19</v>
      </c>
      <c r="N1255" s="5" t="s">
        <v>19</v>
      </c>
      <c r="O1255" s="5" t="s">
        <v>19</v>
      </c>
      <c r="P1255" s="5" t="s">
        <v>19</v>
      </c>
      <c r="Q1255" s="5" t="s">
        <v>19</v>
      </c>
      <c r="R1255" s="5" t="s">
        <v>19</v>
      </c>
      <c r="S1255" s="5" t="s">
        <v>19</v>
      </c>
      <c r="T1255" s="5" t="str">
        <f>HYPERLINK("http://www.lghausys.co.kr/popup/rn/download/downloadPopup.jsp?from=plwindow&amp;uu=/upload/window/REPORT/LGH-DA20-057.pdf","결로발생없음")</f>
        <v>결로발생없음</v>
      </c>
      <c r="U1255" s="5" t="s">
        <v>19</v>
      </c>
      <c r="V1255" s="5" t="s">
        <v>19</v>
      </c>
      <c r="W1255" s="5" t="s">
        <v>75</v>
      </c>
      <c r="X1255"/>
    </row>
    <row r="1256" spans="1:24">
      <c r="A1256" t="s">
        <v>450</v>
      </c>
      <c r="B1256" t="s">
        <v>450</v>
      </c>
      <c r="C1256" t="s">
        <v>14</v>
      </c>
      <c r="D1256" t="s">
        <v>21</v>
      </c>
      <c r="E1256" t="s">
        <v>19</v>
      </c>
      <c r="F1256" t="s">
        <v>19</v>
      </c>
      <c r="G1256" t="s">
        <v>19</v>
      </c>
      <c r="H1256" t="s">
        <v>21</v>
      </c>
      <c r="I1256" t="s">
        <v>19</v>
      </c>
      <c r="J1256" t="s">
        <v>99</v>
      </c>
      <c r="K1256" s="21" t="s">
        <v>607</v>
      </c>
      <c r="L1256" s="5" t="s">
        <v>19</v>
      </c>
      <c r="M1256" s="5" t="s">
        <v>19</v>
      </c>
      <c r="N1256" s="5" t="s">
        <v>19</v>
      </c>
      <c r="O1256" s="5" t="s">
        <v>19</v>
      </c>
      <c r="P1256" s="5" t="s">
        <v>19</v>
      </c>
      <c r="Q1256" s="5" t="s">
        <v>19</v>
      </c>
      <c r="R1256" s="5" t="s">
        <v>19</v>
      </c>
      <c r="S1256" s="5" t="s">
        <v>19</v>
      </c>
      <c r="T1256" s="5" t="str">
        <f>HYPERLINK("http://www.lghausys.co.kr/popup/rn/download/downloadPopup.jsp?from=plwindow&amp;uu=/upload/window/REPORT/LGH-DA20-058.pdf","결로발생없음")</f>
        <v>결로발생없음</v>
      </c>
      <c r="U1256" s="5" t="s">
        <v>19</v>
      </c>
      <c r="V1256" s="5" t="s">
        <v>19</v>
      </c>
      <c r="W1256" s="5" t="s">
        <v>75</v>
      </c>
      <c r="X1256"/>
    </row>
    <row r="1257" spans="1:24">
      <c r="A1257" t="s">
        <v>456</v>
      </c>
      <c r="B1257" t="s">
        <v>456</v>
      </c>
      <c r="C1257" t="s">
        <v>34</v>
      </c>
      <c r="D1257" t="s">
        <v>492</v>
      </c>
      <c r="E1257" t="s">
        <v>19</v>
      </c>
      <c r="F1257" t="s">
        <v>25</v>
      </c>
      <c r="G1257" t="s">
        <v>182</v>
      </c>
      <c r="H1257" t="s">
        <v>25</v>
      </c>
      <c r="I1257" t="s">
        <v>19</v>
      </c>
      <c r="J1257" t="s">
        <v>74</v>
      </c>
      <c r="K1257" s="21" t="s">
        <v>607</v>
      </c>
      <c r="L1257" s="5" t="s">
        <v>19</v>
      </c>
      <c r="M1257" s="5" t="s">
        <v>19</v>
      </c>
      <c r="N1257" s="5" t="str">
        <f>HYPERLINK("http://www.lghausys.co.kr/popup/rn/download/downloadPopup.jsp?from=plwindow&amp;uu=/upload/window/REPORT/LGH-TA20-295.pdf","1.217")</f>
        <v>1.217</v>
      </c>
      <c r="O1257" s="5" t="s">
        <v>19</v>
      </c>
      <c r="P1257" s="5" t="s">
        <v>19</v>
      </c>
      <c r="Q1257" s="5" t="s">
        <v>19</v>
      </c>
      <c r="R1257" s="5" t="s">
        <v>19</v>
      </c>
      <c r="S1257" s="5" t="s">
        <v>19</v>
      </c>
      <c r="T1257" s="5" t="s">
        <v>19</v>
      </c>
      <c r="U1257" s="5" t="s">
        <v>19</v>
      </c>
      <c r="V1257" s="5" t="s">
        <v>19</v>
      </c>
      <c r="W1257" s="5" t="s">
        <v>75</v>
      </c>
      <c r="X1257"/>
    </row>
    <row r="1258" spans="1:24">
      <c r="A1258" t="s">
        <v>456</v>
      </c>
      <c r="B1258" t="s">
        <v>456</v>
      </c>
      <c r="C1258" t="s">
        <v>34</v>
      </c>
      <c r="D1258" t="s">
        <v>492</v>
      </c>
      <c r="E1258" t="s">
        <v>19</v>
      </c>
      <c r="F1258" t="s">
        <v>25</v>
      </c>
      <c r="G1258" t="s">
        <v>182</v>
      </c>
      <c r="H1258" t="s">
        <v>241</v>
      </c>
      <c r="I1258" t="s">
        <v>19</v>
      </c>
      <c r="J1258" t="s">
        <v>74</v>
      </c>
      <c r="K1258" s="21" t="s">
        <v>607</v>
      </c>
      <c r="L1258" s="5" t="s">
        <v>19</v>
      </c>
      <c r="M1258" s="5" t="s">
        <v>19</v>
      </c>
      <c r="N1258" s="5" t="str">
        <f>HYPERLINK("http://www.lghausys.co.kr/popup/rn/download/downloadPopup.jsp?from=plwindow&amp;uu=/upload/window/REPORT/LGH-TA20-296.pdf","0.988")</f>
        <v>0.988</v>
      </c>
      <c r="O1258" s="5" t="s">
        <v>19</v>
      </c>
      <c r="P1258" s="5" t="s">
        <v>19</v>
      </c>
      <c r="Q1258" s="5" t="s">
        <v>19</v>
      </c>
      <c r="R1258" s="5" t="s">
        <v>19</v>
      </c>
      <c r="S1258" s="5" t="s">
        <v>19</v>
      </c>
      <c r="T1258" s="5" t="s">
        <v>19</v>
      </c>
      <c r="U1258" s="5" t="s">
        <v>19</v>
      </c>
      <c r="V1258" s="5" t="s">
        <v>19</v>
      </c>
      <c r="W1258" s="5" t="s">
        <v>75</v>
      </c>
      <c r="X1258"/>
    </row>
    <row r="1259" spans="1:24">
      <c r="A1259" t="s">
        <v>456</v>
      </c>
      <c r="B1259" t="s">
        <v>456</v>
      </c>
      <c r="C1259" t="s">
        <v>34</v>
      </c>
      <c r="D1259" t="s">
        <v>493</v>
      </c>
      <c r="E1259" t="s">
        <v>19</v>
      </c>
      <c r="F1259" t="s">
        <v>241</v>
      </c>
      <c r="G1259" t="s">
        <v>182</v>
      </c>
      <c r="H1259" t="s">
        <v>241</v>
      </c>
      <c r="I1259" t="s">
        <v>19</v>
      </c>
      <c r="J1259" t="s">
        <v>74</v>
      </c>
      <c r="K1259" s="21" t="s">
        <v>607</v>
      </c>
      <c r="L1259" s="5" t="s">
        <v>19</v>
      </c>
      <c r="M1259" s="5" t="s">
        <v>19</v>
      </c>
      <c r="N1259" s="5" t="str">
        <f>HYPERLINK("http://www.lghausys.co.kr/popup/rn/download/downloadPopup.jsp?from=plwindow&amp;uu=/upload/window/REPORT/LGH-TA20-297.pdf","0.87")</f>
        <v>0.87</v>
      </c>
      <c r="O1259" s="5" t="s">
        <v>19</v>
      </c>
      <c r="P1259" s="5" t="s">
        <v>19</v>
      </c>
      <c r="Q1259" s="5" t="s">
        <v>19</v>
      </c>
      <c r="R1259" s="5" t="s">
        <v>19</v>
      </c>
      <c r="S1259" s="5" t="s">
        <v>19</v>
      </c>
      <c r="T1259" s="5" t="s">
        <v>19</v>
      </c>
      <c r="U1259" s="5" t="s">
        <v>19</v>
      </c>
      <c r="V1259" s="5" t="s">
        <v>19</v>
      </c>
      <c r="W1259" s="5" t="s">
        <v>75</v>
      </c>
      <c r="X1259"/>
    </row>
    <row r="1260" spans="1:24">
      <c r="A1260" t="s">
        <v>73</v>
      </c>
      <c r="B1260" t="s">
        <v>73</v>
      </c>
      <c r="C1260" t="s">
        <v>34</v>
      </c>
      <c r="D1260" t="s">
        <v>25</v>
      </c>
      <c r="E1260" t="s">
        <v>19</v>
      </c>
      <c r="F1260" t="s">
        <v>19</v>
      </c>
      <c r="G1260" t="s">
        <v>19</v>
      </c>
      <c r="H1260" t="s">
        <v>165</v>
      </c>
      <c r="I1260" t="s">
        <v>19</v>
      </c>
      <c r="J1260" t="s">
        <v>74</v>
      </c>
      <c r="K1260" s="21" t="s">
        <v>607</v>
      </c>
      <c r="L1260" s="5" t="s">
        <v>19</v>
      </c>
      <c r="M1260" s="5" t="s">
        <v>19</v>
      </c>
      <c r="N1260" s="5" t="str">
        <f>HYPERLINK("http://www.lghausys.co.kr/popup/rn/download/downloadPopup.jsp?from=plwindow&amp;uu=/upload/window/REPORT/LGH-TA20-299.pdf","1.0169")</f>
        <v>1.0169</v>
      </c>
      <c r="O1260" s="5" t="s">
        <v>19</v>
      </c>
      <c r="P1260" s="5" t="s">
        <v>19</v>
      </c>
      <c r="Q1260" s="5" t="s">
        <v>19</v>
      </c>
      <c r="R1260" s="5" t="s">
        <v>19</v>
      </c>
      <c r="S1260" s="5" t="s">
        <v>19</v>
      </c>
      <c r="T1260" s="5" t="s">
        <v>19</v>
      </c>
      <c r="U1260" s="5" t="s">
        <v>19</v>
      </c>
      <c r="V1260" s="5" t="s">
        <v>19</v>
      </c>
      <c r="W1260" s="5" t="s">
        <v>75</v>
      </c>
      <c r="X1260"/>
    </row>
    <row r="1261" spans="1:24">
      <c r="A1261" t="s">
        <v>73</v>
      </c>
      <c r="B1261" t="s">
        <v>73</v>
      </c>
      <c r="C1261" t="s">
        <v>34</v>
      </c>
      <c r="D1261" t="s">
        <v>494</v>
      </c>
      <c r="E1261" t="s">
        <v>19</v>
      </c>
      <c r="F1261" t="s">
        <v>19</v>
      </c>
      <c r="G1261" t="s">
        <v>19</v>
      </c>
      <c r="H1261" t="s">
        <v>495</v>
      </c>
      <c r="I1261" t="s">
        <v>19</v>
      </c>
      <c r="J1261" t="s">
        <v>145</v>
      </c>
      <c r="K1261" s="21" t="s">
        <v>607</v>
      </c>
      <c r="L1261" s="5" t="s">
        <v>19</v>
      </c>
      <c r="M1261" s="5" t="s">
        <v>19</v>
      </c>
      <c r="N1261" s="5" t="str">
        <f>HYPERLINK("http://www.lghausys.co.kr/popup/rn/download/downloadPopup.jsp?from=plwindow&amp;uu=/upload/window/REPORT/LGH-TA20-301.pdf","0.6909")</f>
        <v>0.6909</v>
      </c>
      <c r="O1261" s="5" t="s">
        <v>19</v>
      </c>
      <c r="P1261" s="5" t="s">
        <v>19</v>
      </c>
      <c r="Q1261" s="5" t="s">
        <v>19</v>
      </c>
      <c r="R1261" s="5" t="s">
        <v>19</v>
      </c>
      <c r="S1261" s="5" t="s">
        <v>19</v>
      </c>
      <c r="T1261" s="5" t="s">
        <v>19</v>
      </c>
      <c r="U1261" s="5" t="s">
        <v>19</v>
      </c>
      <c r="V1261" s="5" t="s">
        <v>19</v>
      </c>
      <c r="W1261" s="5" t="s">
        <v>75</v>
      </c>
      <c r="X1261"/>
    </row>
    <row r="1262" spans="1:24">
      <c r="A1262" t="s">
        <v>73</v>
      </c>
      <c r="B1262" t="s">
        <v>73</v>
      </c>
      <c r="C1262" t="s">
        <v>34</v>
      </c>
      <c r="D1262" t="s">
        <v>25</v>
      </c>
      <c r="E1262" t="s">
        <v>19</v>
      </c>
      <c r="F1262" t="s">
        <v>19</v>
      </c>
      <c r="G1262" t="s">
        <v>19</v>
      </c>
      <c r="H1262" t="s">
        <v>28</v>
      </c>
      <c r="I1262" t="s">
        <v>19</v>
      </c>
      <c r="J1262" t="s">
        <v>99</v>
      </c>
      <c r="K1262" s="21" t="s">
        <v>607</v>
      </c>
      <c r="L1262" s="5" t="s">
        <v>19</v>
      </c>
      <c r="M1262" s="5" t="s">
        <v>19</v>
      </c>
      <c r="N1262" s="5" t="str">
        <f>HYPERLINK("http://www.lghausys.co.kr/popup/rn/download/downloadPopup.jsp?from=plwindow&amp;uu=/upload/window/REPORT/LGH-TA20-302.pdf","1.008")</f>
        <v>1.008</v>
      </c>
      <c r="O1262" s="5" t="s">
        <v>19</v>
      </c>
      <c r="P1262" s="5" t="s">
        <v>19</v>
      </c>
      <c r="Q1262" s="5" t="s">
        <v>19</v>
      </c>
      <c r="R1262" s="5" t="s">
        <v>19</v>
      </c>
      <c r="S1262" s="5" t="s">
        <v>19</v>
      </c>
      <c r="T1262" s="5" t="s">
        <v>19</v>
      </c>
      <c r="U1262" s="5" t="s">
        <v>19</v>
      </c>
      <c r="V1262" s="5" t="s">
        <v>19</v>
      </c>
      <c r="W1262" s="5" t="s">
        <v>75</v>
      </c>
      <c r="X1262"/>
    </row>
    <row r="1263" spans="1:24">
      <c r="A1263" t="s">
        <v>496</v>
      </c>
      <c r="B1263" t="s">
        <v>496</v>
      </c>
      <c r="C1263" t="s">
        <v>14</v>
      </c>
      <c r="D1263" t="s">
        <v>25</v>
      </c>
      <c r="E1263" t="s">
        <v>497</v>
      </c>
      <c r="F1263" t="s">
        <v>19</v>
      </c>
      <c r="G1263" t="s">
        <v>19</v>
      </c>
      <c r="H1263" t="s">
        <v>28</v>
      </c>
      <c r="I1263" t="s">
        <v>19</v>
      </c>
      <c r="J1263" t="s">
        <v>74</v>
      </c>
      <c r="K1263" s="21" t="s">
        <v>607</v>
      </c>
      <c r="L1263" s="5" t="s">
        <v>19</v>
      </c>
      <c r="M1263" s="5" t="s">
        <v>19</v>
      </c>
      <c r="N1263" s="5" t="s">
        <v>19</v>
      </c>
      <c r="O1263" s="5" t="s">
        <v>19</v>
      </c>
      <c r="P1263" s="5" t="s">
        <v>19</v>
      </c>
      <c r="Q1263" s="5" t="s">
        <v>19</v>
      </c>
      <c r="R1263" s="5" t="s">
        <v>19</v>
      </c>
      <c r="S1263" s="5" t="s">
        <v>19</v>
      </c>
      <c r="T1263" s="5" t="str">
        <f>HYPERLINK("http://www.lghausys.co.kr/popup/rn/download/downloadPopup.jsp?from=plwindow&amp;uu=/upload/window/REPORT/LGH-DA20-060.pdf","결로발생없음")</f>
        <v>결로발생없음</v>
      </c>
      <c r="U1263" s="5" t="s">
        <v>19</v>
      </c>
      <c r="V1263" s="5" t="s">
        <v>19</v>
      </c>
      <c r="W1263" s="5" t="s">
        <v>75</v>
      </c>
      <c r="X1263"/>
    </row>
    <row r="1264" spans="1:24">
      <c r="A1264" t="s">
        <v>281</v>
      </c>
      <c r="B1264" t="s">
        <v>281</v>
      </c>
      <c r="C1264" t="s">
        <v>14</v>
      </c>
      <c r="D1264" t="s">
        <v>228</v>
      </c>
      <c r="E1264" t="s">
        <v>19</v>
      </c>
      <c r="F1264" t="s">
        <v>28</v>
      </c>
      <c r="G1264" t="s">
        <v>182</v>
      </c>
      <c r="H1264" t="s">
        <v>28</v>
      </c>
      <c r="I1264" t="s">
        <v>19</v>
      </c>
      <c r="J1264" t="s">
        <v>74</v>
      </c>
      <c r="K1264" s="21" t="s">
        <v>607</v>
      </c>
      <c r="L1264" s="5" t="s">
        <v>19</v>
      </c>
      <c r="M1264" s="5" t="s">
        <v>19</v>
      </c>
      <c r="N1264" s="5" t="s">
        <v>19</v>
      </c>
      <c r="O1264" s="5" t="s">
        <v>19</v>
      </c>
      <c r="P1264" s="5" t="s">
        <v>19</v>
      </c>
      <c r="Q1264" s="5" t="s">
        <v>19</v>
      </c>
      <c r="R1264" s="5" t="s">
        <v>19</v>
      </c>
      <c r="S1264" s="5" t="str">
        <f>HYPERLINK("http://www.lghausys.co.kr/popup/rn/download/downloadPopup.jsp?from=plwindow&amp;uu=/upload/window/REPORT/LGH-DA20-062.pdf","결로발생없음")</f>
        <v>결로발생없음</v>
      </c>
      <c r="T1264" s="5" t="s">
        <v>19</v>
      </c>
      <c r="U1264" s="5" t="s">
        <v>19</v>
      </c>
      <c r="V1264" s="5" t="s">
        <v>19</v>
      </c>
      <c r="W1264" s="5" t="s">
        <v>75</v>
      </c>
      <c r="X1264"/>
    </row>
    <row r="1265" spans="1:24">
      <c r="A1265" t="s">
        <v>443</v>
      </c>
      <c r="B1265" t="s">
        <v>443</v>
      </c>
      <c r="C1265" t="s">
        <v>31</v>
      </c>
      <c r="D1265" t="s">
        <v>498</v>
      </c>
      <c r="E1265" t="s">
        <v>19</v>
      </c>
      <c r="F1265" t="s">
        <v>19</v>
      </c>
      <c r="G1265" t="s">
        <v>19</v>
      </c>
      <c r="H1265" t="s">
        <v>19</v>
      </c>
      <c r="I1265" t="s">
        <v>19</v>
      </c>
      <c r="J1265" t="s">
        <v>74</v>
      </c>
      <c r="K1265" s="21" t="s">
        <v>607</v>
      </c>
      <c r="L1265" s="5" t="s">
        <v>19</v>
      </c>
      <c r="M1265" s="5" t="s">
        <v>19</v>
      </c>
      <c r="N1265" s="5" t="s">
        <v>19</v>
      </c>
      <c r="O1265" s="5" t="str">
        <f>HYPERLINK("http://www.lghausys.co.kr/popup/rn/download/downloadPopup.jsp?from=plwindow&amp;uu=/upload/window/REPORT/LGH-WA20-311.pdf","1등급")</f>
        <v>1등급</v>
      </c>
      <c r="P1265" s="5" t="s">
        <v>19</v>
      </c>
      <c r="Q1265" s="5" t="s">
        <v>19</v>
      </c>
      <c r="R1265" s="5" t="s">
        <v>19</v>
      </c>
      <c r="S1265" s="5" t="s">
        <v>19</v>
      </c>
      <c r="T1265" s="5" t="s">
        <v>19</v>
      </c>
      <c r="U1265" s="5" t="s">
        <v>19</v>
      </c>
      <c r="V1265" s="5" t="s">
        <v>19</v>
      </c>
      <c r="W1265" s="5" t="s">
        <v>152</v>
      </c>
      <c r="X1265"/>
    </row>
    <row r="1266" spans="1:24">
      <c r="A1266" t="s">
        <v>499</v>
      </c>
      <c r="B1266" t="s">
        <v>499</v>
      </c>
      <c r="C1266" t="s">
        <v>31</v>
      </c>
      <c r="D1266" t="s">
        <v>165</v>
      </c>
      <c r="E1266" t="s">
        <v>19</v>
      </c>
      <c r="F1266" t="s">
        <v>19</v>
      </c>
      <c r="G1266" t="s">
        <v>19</v>
      </c>
      <c r="H1266" t="s">
        <v>19</v>
      </c>
      <c r="I1266" t="s">
        <v>19</v>
      </c>
      <c r="J1266" t="s">
        <v>99</v>
      </c>
      <c r="K1266" s="21" t="s">
        <v>607</v>
      </c>
      <c r="L1266" s="5" t="s">
        <v>19</v>
      </c>
      <c r="M1266" s="5" t="s">
        <v>19</v>
      </c>
      <c r="N1266" s="5" t="s">
        <v>19</v>
      </c>
      <c r="O1266" s="5" t="str">
        <f>HYPERLINK("http://www.lghausys.co.kr/popup/rn/download/downloadPopup.jsp?from=plwindow&amp;uu=/upload/window/REPORT/LGH-WA20-312.pdf","1등급")</f>
        <v>1등급</v>
      </c>
      <c r="P1266" s="5" t="s">
        <v>19</v>
      </c>
      <c r="Q1266" s="5" t="s">
        <v>19</v>
      </c>
      <c r="R1266" s="5" t="s">
        <v>19</v>
      </c>
      <c r="S1266" s="5" t="s">
        <v>19</v>
      </c>
      <c r="T1266" s="5" t="s">
        <v>19</v>
      </c>
      <c r="U1266" s="5" t="s">
        <v>19</v>
      </c>
      <c r="V1266" s="5" t="s">
        <v>19</v>
      </c>
      <c r="W1266" s="5" t="s">
        <v>152</v>
      </c>
      <c r="X1266"/>
    </row>
    <row r="1267" spans="1:24">
      <c r="A1267" t="s">
        <v>57</v>
      </c>
      <c r="B1267" t="s">
        <v>57</v>
      </c>
      <c r="C1267" t="s">
        <v>31</v>
      </c>
      <c r="D1267" t="s">
        <v>25</v>
      </c>
      <c r="E1267" t="s">
        <v>19</v>
      </c>
      <c r="F1267" t="s">
        <v>19</v>
      </c>
      <c r="G1267" t="s">
        <v>19</v>
      </c>
      <c r="H1267" t="s">
        <v>19</v>
      </c>
      <c r="I1267" t="s">
        <v>19</v>
      </c>
      <c r="J1267" t="s">
        <v>99</v>
      </c>
      <c r="K1267" s="21" t="s">
        <v>607</v>
      </c>
      <c r="L1267" s="5" t="s">
        <v>19</v>
      </c>
      <c r="M1267" s="5" t="s">
        <v>19</v>
      </c>
      <c r="N1267" s="5" t="s">
        <v>19</v>
      </c>
      <c r="O1267" s="5" t="str">
        <f>HYPERLINK("http://www.lghausys.co.kr/popup/rn/download/downloadPopup.jsp?from=plwindow&amp;uu=/upload/window/REPORT/LGH-WA20-313.pdf","1등급")</f>
        <v>1등급</v>
      </c>
      <c r="P1267" s="5" t="s">
        <v>19</v>
      </c>
      <c r="Q1267" s="5" t="s">
        <v>19</v>
      </c>
      <c r="R1267" s="5" t="s">
        <v>19</v>
      </c>
      <c r="S1267" s="5" t="s">
        <v>19</v>
      </c>
      <c r="T1267" s="5" t="s">
        <v>19</v>
      </c>
      <c r="U1267" s="5" t="s">
        <v>19</v>
      </c>
      <c r="V1267" s="5" t="s">
        <v>19</v>
      </c>
      <c r="W1267" s="5" t="s">
        <v>152</v>
      </c>
      <c r="X1267"/>
    </row>
    <row r="1268" spans="1:24">
      <c r="A1268" t="s">
        <v>95</v>
      </c>
      <c r="B1268" t="s">
        <v>95</v>
      </c>
      <c r="C1268" t="s">
        <v>31</v>
      </c>
      <c r="D1268" t="s">
        <v>41</v>
      </c>
      <c r="E1268" t="s">
        <v>19</v>
      </c>
      <c r="F1268" t="s">
        <v>19</v>
      </c>
      <c r="G1268" t="s">
        <v>19</v>
      </c>
      <c r="H1268" t="s">
        <v>19</v>
      </c>
      <c r="I1268" t="s">
        <v>19</v>
      </c>
      <c r="J1268" t="s">
        <v>99</v>
      </c>
      <c r="K1268" s="21" t="s">
        <v>607</v>
      </c>
      <c r="L1268" s="5" t="s">
        <v>19</v>
      </c>
      <c r="M1268" s="5" t="s">
        <v>19</v>
      </c>
      <c r="N1268" s="5" t="s">
        <v>19</v>
      </c>
      <c r="O1268" s="5" t="str">
        <f>HYPERLINK("http://www.lghausys.co.kr/popup/rn/download/downloadPopup.jsp?from=plwindow&amp;uu=/upload/window/REPORT/LGH-WA20-314.pdf","1등급")</f>
        <v>1등급</v>
      </c>
      <c r="P1268" s="5" t="s">
        <v>19</v>
      </c>
      <c r="Q1268" s="5" t="s">
        <v>19</v>
      </c>
      <c r="R1268" s="5" t="s">
        <v>19</v>
      </c>
      <c r="S1268" s="5" t="s">
        <v>19</v>
      </c>
      <c r="T1268" s="5" t="s">
        <v>19</v>
      </c>
      <c r="U1268" s="5" t="s">
        <v>19</v>
      </c>
      <c r="V1268" s="5" t="s">
        <v>19</v>
      </c>
      <c r="W1268" s="5" t="s">
        <v>152</v>
      </c>
      <c r="X1268"/>
    </row>
    <row r="1269" spans="1:24">
      <c r="A1269" t="s">
        <v>83</v>
      </c>
      <c r="B1269" t="s">
        <v>83</v>
      </c>
      <c r="C1269" t="s">
        <v>31</v>
      </c>
      <c r="D1269" t="s">
        <v>28</v>
      </c>
      <c r="E1269" t="s">
        <v>19</v>
      </c>
      <c r="F1269" t="s">
        <v>19</v>
      </c>
      <c r="G1269" t="s">
        <v>19</v>
      </c>
      <c r="H1269" t="s">
        <v>19</v>
      </c>
      <c r="I1269" t="s">
        <v>19</v>
      </c>
      <c r="J1269" t="s">
        <v>74</v>
      </c>
      <c r="K1269" s="21" t="s">
        <v>607</v>
      </c>
      <c r="L1269" s="5" t="s">
        <v>19</v>
      </c>
      <c r="M1269" s="5" t="s">
        <v>19</v>
      </c>
      <c r="N1269" s="5" t="s">
        <v>19</v>
      </c>
      <c r="O1269" s="5" t="str">
        <f>HYPERLINK("http://www.lghausys.co.kr/popup/rn/download/downloadPopup.jsp?from=plwindow&amp;uu=/upload/window/REPORT/LGH-WA20-315.pdf","2등급")</f>
        <v>2등급</v>
      </c>
      <c r="P1269" s="5" t="s">
        <v>19</v>
      </c>
      <c r="Q1269" s="5" t="s">
        <v>19</v>
      </c>
      <c r="R1269" s="5" t="s">
        <v>19</v>
      </c>
      <c r="S1269" s="5" t="s">
        <v>19</v>
      </c>
      <c r="T1269" s="5" t="s">
        <v>19</v>
      </c>
      <c r="U1269" s="5" t="s">
        <v>19</v>
      </c>
      <c r="V1269" s="5" t="s">
        <v>19</v>
      </c>
      <c r="W1269" s="5" t="s">
        <v>152</v>
      </c>
      <c r="X1269"/>
    </row>
    <row r="1270" spans="1:24">
      <c r="A1270" t="s">
        <v>500</v>
      </c>
      <c r="B1270" t="s">
        <v>500</v>
      </c>
      <c r="C1270" t="s">
        <v>20</v>
      </c>
      <c r="D1270" t="s">
        <v>501</v>
      </c>
      <c r="E1270" t="s">
        <v>19</v>
      </c>
      <c r="F1270" t="s">
        <v>53</v>
      </c>
      <c r="G1270" t="s">
        <v>19</v>
      </c>
      <c r="H1270" t="s">
        <v>502</v>
      </c>
      <c r="I1270" t="s">
        <v>19</v>
      </c>
      <c r="J1270" t="s">
        <v>503</v>
      </c>
      <c r="K1270" s="21" t="str">
        <f>IF(X1270&lt;=0.9,HYPERLINK("http://www.lxhausys.co.kr/popup/rn/download/downloadPopup.jsp?from=plwindow&amp;uu=/upload/window/REPORT/LGH-TW20-057.pdf","1등급"),IF(X1270&lt;=1.2,HYPERLINK("http://www.lxhausys.co.kr/popup/rn/download/downloadPopup.jsp?from=plwindow&amp;uu=/upload/window/REPORT/LGH-TW20-057.pdf","2등급"),IF(X1270&lt;=1.8,HYPERLINK("http://www.lxhausys.co.kr/popup/rn/download/downloadPopup.jsp?from=plwindow&amp;uu=/upload/window/REPORT/LGH-TW20-057.pdf","3등급"),IF(X1270&lt;=2.3,HYPERLINK("http://www.lxhausys.co.kr/popup/rn/download/downloadPopup.jsp?from=plwindow&amp;uu=/upload/window/REPORT/LGH-TW20-057.pdf","4등급"),IF(X1270&lt;=2.8,HYPERLINK("http://www.lxhausys.co.kr/popup/rn/download/downloadPopup.jsp?from=plwindow&amp;uu=/upload/window/REPORT/LGH-TW20-057.pdf","5등급"),HYPERLINK("http://www.lxhausys.co.kr/popup/rn/download/downloadPopup.jsp?from=plwindow&amp;uu=/upload/window/REPORT/LGH-TW20-057.pdf","등급외"))))))</f>
        <v>1등급</v>
      </c>
      <c r="L1270" s="5">
        <v>0.63500000000000001</v>
      </c>
      <c r="M1270" s="5" t="s">
        <v>504</v>
      </c>
      <c r="N1270" s="5" t="s">
        <v>607</v>
      </c>
      <c r="O1270" s="5" t="s">
        <v>19</v>
      </c>
      <c r="P1270" s="5" t="s">
        <v>19</v>
      </c>
      <c r="Q1270" s="5" t="s">
        <v>19</v>
      </c>
      <c r="R1270" s="5" t="s">
        <v>19</v>
      </c>
      <c r="S1270" s="5" t="s">
        <v>19</v>
      </c>
      <c r="T1270" s="5" t="s">
        <v>19</v>
      </c>
      <c r="U1270" s="5" t="s">
        <v>19</v>
      </c>
      <c r="V1270" s="5" t="s">
        <v>19</v>
      </c>
      <c r="W1270" s="5" t="s">
        <v>19</v>
      </c>
      <c r="X1270" s="19">
        <f>L1270</f>
        <v>0.63500000000000001</v>
      </c>
    </row>
    <row r="1271" spans="1:24">
      <c r="A1271" t="s">
        <v>505</v>
      </c>
      <c r="B1271" t="s">
        <v>505</v>
      </c>
      <c r="C1271" t="s">
        <v>20</v>
      </c>
      <c r="D1271" t="s">
        <v>501</v>
      </c>
      <c r="E1271" t="s">
        <v>19</v>
      </c>
      <c r="F1271" t="s">
        <v>53</v>
      </c>
      <c r="G1271" t="s">
        <v>19</v>
      </c>
      <c r="H1271" t="s">
        <v>53</v>
      </c>
      <c r="I1271" t="s">
        <v>19</v>
      </c>
      <c r="J1271" t="s">
        <v>97</v>
      </c>
      <c r="K1271" s="21" t="str">
        <f>IF(X1271&lt;=0.9,HYPERLINK("http://www.lxhausys.co.kr/popup/rn/download/downloadPopup.jsp?from=plwindow&amp;uu=/upload/window/REPORT/LGH-TW20-058.pdf","1등급"),IF(X1271&lt;=1.2,HYPERLINK("http://www.lxhausys.co.kr/popup/rn/download/downloadPopup.jsp?from=plwindow&amp;uu=/upload/window/REPORT/LGH-TW20-058.pdf","2등급"),IF(X1271&lt;=1.8,HYPERLINK("http://www.lxhausys.co.kr/popup/rn/download/downloadPopup.jsp?from=plwindow&amp;uu=/upload/window/REPORT/LGH-TW20-058.pdf","3등급"),IF(X1271&lt;=2.3,HYPERLINK("http://www.lxhausys.co.kr/popup/rn/download/downloadPopup.jsp?from=plwindow&amp;uu=/upload/window/REPORT/LGH-TW20-058.pdf","4등급"),IF(X1271&lt;=2.8,HYPERLINK("http://www.lxhausys.co.kr/popup/rn/download/downloadPopup.jsp?from=plwindow&amp;uu=/upload/window/REPORT/LGH-TW20-058.pdf","5등급"),HYPERLINK("http://www.lxhausys.co.kr/popup/rn/download/downloadPopup.jsp?from=plwindow&amp;uu=/upload/window/REPORT/LGH-TW20-058.pdf","등급외"))))))</f>
        <v>1등급</v>
      </c>
      <c r="L1271" s="5">
        <v>0.68099999999999994</v>
      </c>
      <c r="M1271" s="5" t="s">
        <v>506</v>
      </c>
      <c r="N1271" s="5" t="s">
        <v>607</v>
      </c>
      <c r="O1271" s="5" t="s">
        <v>19</v>
      </c>
      <c r="P1271" s="5" t="s">
        <v>19</v>
      </c>
      <c r="Q1271" s="5" t="s">
        <v>19</v>
      </c>
      <c r="R1271" s="5" t="s">
        <v>19</v>
      </c>
      <c r="S1271" s="5" t="s">
        <v>19</v>
      </c>
      <c r="T1271" s="5" t="s">
        <v>19</v>
      </c>
      <c r="U1271" s="5" t="s">
        <v>19</v>
      </c>
      <c r="V1271" s="5" t="s">
        <v>19</v>
      </c>
      <c r="W1271" s="5" t="s">
        <v>19</v>
      </c>
      <c r="X1271" s="19">
        <f>L1271</f>
        <v>0.68099999999999994</v>
      </c>
    </row>
    <row r="1272" spans="1:24">
      <c r="A1272" t="s">
        <v>507</v>
      </c>
      <c r="B1272" t="s">
        <v>507</v>
      </c>
      <c r="C1272" t="s">
        <v>20</v>
      </c>
      <c r="D1272" t="s">
        <v>508</v>
      </c>
      <c r="E1272" t="s">
        <v>19</v>
      </c>
      <c r="F1272" t="s">
        <v>19</v>
      </c>
      <c r="G1272" t="s">
        <v>19</v>
      </c>
      <c r="H1272" t="s">
        <v>19</v>
      </c>
      <c r="I1272" t="s">
        <v>19</v>
      </c>
      <c r="J1272" t="s">
        <v>184</v>
      </c>
      <c r="K1272" s="21" t="str">
        <f>IF(X1272&lt;=0.9,HYPERLINK("http://www.lxhausys.co.kr/popup/rn/download/downloadPopup.jsp?from=plwindow&amp;uu=/upload/window/REPORT/LGH-TW20-059.pdf","1등급"),IF(X1272&lt;=1.2,HYPERLINK("http://www.lxhausys.co.kr/popup/rn/download/downloadPopup.jsp?from=plwindow&amp;uu=/upload/window/REPORT/LGH-TW20-059.pdf","2등급"),IF(X1272&lt;=1.8,HYPERLINK("http://www.lxhausys.co.kr/popup/rn/download/downloadPopup.jsp?from=plwindow&amp;uu=/upload/window/REPORT/LGH-TW20-059.pdf","3등급"),IF(X1272&lt;=2.3,HYPERLINK("http://www.lxhausys.co.kr/popup/rn/download/downloadPopup.jsp?from=plwindow&amp;uu=/upload/window/REPORT/LGH-TW20-059.pdf","4등급"),IF(X1272&lt;=2.8,HYPERLINK("http://www.lxhausys.co.kr/popup/rn/download/downloadPopup.jsp?from=plwindow&amp;uu=/upload/window/REPORT/LGH-TW20-059.pdf","5등급"),HYPERLINK("http://www.lxhausys.co.kr/popup/rn/download/downloadPopup.jsp?from=plwindow&amp;uu=/upload/window/REPORT/LGH-TW20-059.pdf","등급외"))))))</f>
        <v>1등급</v>
      </c>
      <c r="L1272" s="5">
        <v>0.86099999999999999</v>
      </c>
      <c r="M1272" s="5" t="s">
        <v>509</v>
      </c>
      <c r="N1272" s="5" t="s">
        <v>607</v>
      </c>
      <c r="O1272" s="5" t="s">
        <v>19</v>
      </c>
      <c r="P1272" s="5" t="s">
        <v>19</v>
      </c>
      <c r="Q1272" s="5" t="s">
        <v>19</v>
      </c>
      <c r="R1272" s="5" t="s">
        <v>19</v>
      </c>
      <c r="S1272" s="5" t="s">
        <v>19</v>
      </c>
      <c r="T1272" s="5" t="s">
        <v>19</v>
      </c>
      <c r="U1272" s="5" t="s">
        <v>19</v>
      </c>
      <c r="V1272" s="5" t="s">
        <v>19</v>
      </c>
      <c r="W1272" s="5" t="s">
        <v>19</v>
      </c>
      <c r="X1272" s="19">
        <f>L1272</f>
        <v>0.86099999999999999</v>
      </c>
    </row>
    <row r="1273" spans="1:24">
      <c r="A1273" t="s">
        <v>510</v>
      </c>
      <c r="B1273" t="s">
        <v>510</v>
      </c>
      <c r="C1273" t="s">
        <v>20</v>
      </c>
      <c r="D1273" t="s">
        <v>511</v>
      </c>
      <c r="E1273" t="s">
        <v>19</v>
      </c>
      <c r="F1273" t="s">
        <v>19</v>
      </c>
      <c r="G1273" t="s">
        <v>19</v>
      </c>
      <c r="H1273" t="s">
        <v>19</v>
      </c>
      <c r="I1273" t="s">
        <v>19</v>
      </c>
      <c r="J1273" t="s">
        <v>97</v>
      </c>
      <c r="K1273" s="21" t="str">
        <f>IF(X1273&lt;=0.9,HYPERLINK("http://www.lxhausys.co.kr/popup/rn/download/downloadPopup.jsp?from=plwindow&amp;uu=/upload/window/REPORT/LGH-TW20-060.pdf","1등급"),IF(X1273&lt;=1.2,HYPERLINK("http://www.lxhausys.co.kr/popup/rn/download/downloadPopup.jsp?from=plwindow&amp;uu=/upload/window/REPORT/LGH-TW20-060.pdf","2등급"),IF(X1273&lt;=1.8,HYPERLINK("http://www.lxhausys.co.kr/popup/rn/download/downloadPopup.jsp?from=plwindow&amp;uu=/upload/window/REPORT/LGH-TW20-060.pdf","3등급"),IF(X1273&lt;=2.3,HYPERLINK("http://www.lxhausys.co.kr/popup/rn/download/downloadPopup.jsp?from=plwindow&amp;uu=/upload/window/REPORT/LGH-TW20-060.pdf","4등급"),IF(X1273&lt;=2.8,HYPERLINK("http://www.lxhausys.co.kr/popup/rn/download/downloadPopup.jsp?from=plwindow&amp;uu=/upload/window/REPORT/LGH-TW20-060.pdf","5등급"),HYPERLINK("http://www.lxhausys.co.kr/popup/rn/download/downloadPopup.jsp?from=plwindow&amp;uu=/upload/window/REPORT/LGH-TW20-060.pdf","등급외"))))))</f>
        <v>3등급</v>
      </c>
      <c r="L1273" s="5">
        <v>1.748</v>
      </c>
      <c r="M1273" s="5" t="s">
        <v>512</v>
      </c>
      <c r="N1273" s="5" t="s">
        <v>607</v>
      </c>
      <c r="O1273" s="5" t="s">
        <v>19</v>
      </c>
      <c r="P1273" s="5" t="s">
        <v>19</v>
      </c>
      <c r="Q1273" s="5" t="s">
        <v>19</v>
      </c>
      <c r="R1273" s="5" t="s">
        <v>19</v>
      </c>
      <c r="S1273" s="5" t="s">
        <v>19</v>
      </c>
      <c r="T1273" s="5" t="s">
        <v>19</v>
      </c>
      <c r="U1273" s="5" t="s">
        <v>19</v>
      </c>
      <c r="V1273" s="5" t="s">
        <v>19</v>
      </c>
      <c r="W1273" s="5" t="s">
        <v>19</v>
      </c>
      <c r="X1273" s="19">
        <f>L1273</f>
        <v>1.748</v>
      </c>
    </row>
    <row r="1274" spans="1:24">
      <c r="A1274" t="s">
        <v>513</v>
      </c>
      <c r="B1274" t="s">
        <v>513</v>
      </c>
      <c r="C1274" t="s">
        <v>20</v>
      </c>
      <c r="D1274" t="s">
        <v>511</v>
      </c>
      <c r="E1274" t="s">
        <v>19</v>
      </c>
      <c r="F1274" t="s">
        <v>19</v>
      </c>
      <c r="G1274" t="s">
        <v>19</v>
      </c>
      <c r="H1274" t="s">
        <v>511</v>
      </c>
      <c r="I1274" t="s">
        <v>19</v>
      </c>
      <c r="J1274" t="s">
        <v>97</v>
      </c>
      <c r="K1274" s="21" t="str">
        <f>IF(X1274&lt;=0.9,HYPERLINK("http://www.lxhausys.co.kr/popup/rn/download/downloadPopup.jsp?from=plwindow&amp;uu=/upload/window/REPORT/LGH-TW20-061.pdf","1등급"),IF(X1274&lt;=1.2,HYPERLINK("http://www.lxhausys.co.kr/popup/rn/download/downloadPopup.jsp?from=plwindow&amp;uu=/upload/window/REPORT/LGH-TW20-061.pdf","2등급"),IF(X1274&lt;=1.8,HYPERLINK("http://www.lxhausys.co.kr/popup/rn/download/downloadPopup.jsp?from=plwindow&amp;uu=/upload/window/REPORT/LGH-TW20-061.pdf","3등급"),IF(X1274&lt;=2.3,HYPERLINK("http://www.lxhausys.co.kr/popup/rn/download/downloadPopup.jsp?from=plwindow&amp;uu=/upload/window/REPORT/LGH-TW20-061.pdf","4등급"),IF(X1274&lt;=2.8,HYPERLINK("http://www.lxhausys.co.kr/popup/rn/download/downloadPopup.jsp?from=plwindow&amp;uu=/upload/window/REPORT/LGH-TW20-061.pdf","5등급"),HYPERLINK("http://www.lxhausys.co.kr/popup/rn/download/downloadPopup.jsp?from=plwindow&amp;uu=/upload/window/REPORT/LGH-TW20-061.pdf","등급외"))))))</f>
        <v>1등급</v>
      </c>
      <c r="L1274" s="5">
        <v>0.64500000000000002</v>
      </c>
      <c r="M1274" s="5" t="s">
        <v>514</v>
      </c>
      <c r="N1274" s="5" t="s">
        <v>607</v>
      </c>
      <c r="O1274" s="5" t="s">
        <v>19</v>
      </c>
      <c r="P1274" s="5" t="s">
        <v>19</v>
      </c>
      <c r="Q1274" s="5" t="s">
        <v>19</v>
      </c>
      <c r="R1274" s="5" t="s">
        <v>19</v>
      </c>
      <c r="S1274" s="5" t="s">
        <v>19</v>
      </c>
      <c r="T1274" s="5" t="s">
        <v>19</v>
      </c>
      <c r="U1274" s="5" t="s">
        <v>19</v>
      </c>
      <c r="V1274" s="5" t="s">
        <v>19</v>
      </c>
      <c r="W1274" s="5" t="s">
        <v>19</v>
      </c>
      <c r="X1274" s="19">
        <f>L1274</f>
        <v>0.64500000000000002</v>
      </c>
    </row>
    <row r="1275" spans="1:24">
      <c r="A1275" t="s">
        <v>224</v>
      </c>
      <c r="B1275" t="s">
        <v>224</v>
      </c>
      <c r="C1275" t="s">
        <v>31</v>
      </c>
      <c r="D1275" t="s">
        <v>28</v>
      </c>
      <c r="E1275" t="s">
        <v>19</v>
      </c>
      <c r="F1275" t="s">
        <v>19</v>
      </c>
      <c r="G1275" t="s">
        <v>19</v>
      </c>
      <c r="H1275" t="s">
        <v>19</v>
      </c>
      <c r="I1275" t="s">
        <v>19</v>
      </c>
      <c r="J1275" t="s">
        <v>74</v>
      </c>
      <c r="K1275" s="21" t="s">
        <v>607</v>
      </c>
      <c r="L1275" s="5" t="s">
        <v>19</v>
      </c>
      <c r="M1275" s="5" t="s">
        <v>19</v>
      </c>
      <c r="N1275" s="5" t="s">
        <v>19</v>
      </c>
      <c r="O1275" s="5" t="str">
        <f>HYPERLINK("http://www.lghausys.co.kr/popup/rn/download/downloadPopup.jsp?from=plwindow&amp;uu=/upload/window/REPORT/LGH-WA20-321.pdf","2등급")</f>
        <v>2등급</v>
      </c>
      <c r="P1275" s="5" t="s">
        <v>19</v>
      </c>
      <c r="Q1275" s="5" t="s">
        <v>19</v>
      </c>
      <c r="R1275" s="5" t="s">
        <v>19</v>
      </c>
      <c r="S1275" s="5" t="s">
        <v>19</v>
      </c>
      <c r="T1275" s="5" t="s">
        <v>19</v>
      </c>
      <c r="U1275" s="5" t="s">
        <v>19</v>
      </c>
      <c r="V1275" s="5" t="s">
        <v>19</v>
      </c>
      <c r="W1275" s="5" t="s">
        <v>152</v>
      </c>
      <c r="X1275"/>
    </row>
    <row r="1276" spans="1:24">
      <c r="A1276" t="s">
        <v>507</v>
      </c>
      <c r="B1276" t="s">
        <v>507</v>
      </c>
      <c r="C1276" t="s">
        <v>31</v>
      </c>
      <c r="D1276" t="s">
        <v>508</v>
      </c>
      <c r="E1276" t="s">
        <v>19</v>
      </c>
      <c r="F1276" t="s">
        <v>19</v>
      </c>
      <c r="G1276" t="s">
        <v>19</v>
      </c>
      <c r="H1276" t="s">
        <v>19</v>
      </c>
      <c r="I1276" t="s">
        <v>19</v>
      </c>
      <c r="J1276" t="s">
        <v>184</v>
      </c>
      <c r="K1276" s="21" t="s">
        <v>607</v>
      </c>
      <c r="L1276" s="5" t="s">
        <v>19</v>
      </c>
      <c r="M1276" s="5" t="s">
        <v>19</v>
      </c>
      <c r="N1276" s="5" t="s">
        <v>19</v>
      </c>
      <c r="O1276" s="5" t="s">
        <v>19</v>
      </c>
      <c r="P1276" s="5" t="str">
        <f>HYPERLINK("http://www.lghausys.co.kr/popup/rn/download/downloadPopup.jsp?from=plwindow&amp;uu=/upload/window/REPORT/LGH-WA20-322.pdf","50등급")</f>
        <v>50등급</v>
      </c>
      <c r="Q1276" s="5" t="str">
        <f>HYPERLINK("http://www.lghausys.co.kr/popup/rn/download/downloadPopup.jsp?from=plwindow&amp;uu=/upload/window/REPORT/LGH-WA20-322.pdf","360등급")</f>
        <v>360등급</v>
      </c>
      <c r="R1276" s="5" t="s">
        <v>19</v>
      </c>
      <c r="S1276" s="5" t="s">
        <v>19</v>
      </c>
      <c r="T1276" s="5" t="s">
        <v>19</v>
      </c>
      <c r="U1276" s="5" t="s">
        <v>19</v>
      </c>
      <c r="V1276" s="5" t="s">
        <v>19</v>
      </c>
      <c r="W1276" s="5" t="s">
        <v>152</v>
      </c>
      <c r="X1276"/>
    </row>
    <row r="1277" spans="1:24">
      <c r="A1277" t="s">
        <v>500</v>
      </c>
      <c r="B1277" t="s">
        <v>500</v>
      </c>
      <c r="C1277" t="s">
        <v>31</v>
      </c>
      <c r="D1277" t="s">
        <v>501</v>
      </c>
      <c r="E1277" t="s">
        <v>19</v>
      </c>
      <c r="F1277" t="s">
        <v>53</v>
      </c>
      <c r="G1277" t="s">
        <v>19</v>
      </c>
      <c r="H1277" t="s">
        <v>502</v>
      </c>
      <c r="I1277" t="s">
        <v>19</v>
      </c>
      <c r="J1277" t="s">
        <v>515</v>
      </c>
      <c r="K1277" s="21" t="s">
        <v>607</v>
      </c>
      <c r="L1277" s="5" t="s">
        <v>19</v>
      </c>
      <c r="M1277" s="5" t="s">
        <v>19</v>
      </c>
      <c r="N1277" s="5" t="s">
        <v>19</v>
      </c>
      <c r="O1277" s="5" t="s">
        <v>19</v>
      </c>
      <c r="P1277" s="5" t="str">
        <f>HYPERLINK("http://www.lghausys.co.kr/popup/rn/download/downloadPopup.jsp?from=plwindow&amp;uu=/upload/window/REPORT/LGH-WA20-323.pdf","50등급")</f>
        <v>50등급</v>
      </c>
      <c r="Q1277" s="5" t="str">
        <f>HYPERLINK("http://www.lghausys.co.kr/popup/rn/download/downloadPopup.jsp?from=plwindow&amp;uu=/upload/window/REPORT/LGH-WA20-323.pdf","400등급")</f>
        <v>400등급</v>
      </c>
      <c r="R1277" s="5" t="s">
        <v>19</v>
      </c>
      <c r="S1277" s="5" t="s">
        <v>19</v>
      </c>
      <c r="T1277" s="5" t="s">
        <v>19</v>
      </c>
      <c r="U1277" s="5" t="s">
        <v>19</v>
      </c>
      <c r="V1277" s="5" t="s">
        <v>19</v>
      </c>
      <c r="W1277" s="5" t="s">
        <v>152</v>
      </c>
      <c r="X1277"/>
    </row>
    <row r="1278" spans="1:24">
      <c r="A1278" t="s">
        <v>505</v>
      </c>
      <c r="B1278" t="s">
        <v>505</v>
      </c>
      <c r="C1278" t="s">
        <v>31</v>
      </c>
      <c r="D1278" t="s">
        <v>501</v>
      </c>
      <c r="E1278" t="s">
        <v>19</v>
      </c>
      <c r="F1278" t="s">
        <v>53</v>
      </c>
      <c r="G1278" t="s">
        <v>19</v>
      </c>
      <c r="H1278" t="s">
        <v>53</v>
      </c>
      <c r="I1278" t="s">
        <v>19</v>
      </c>
      <c r="J1278" t="s">
        <v>97</v>
      </c>
      <c r="K1278" s="21" t="s">
        <v>607</v>
      </c>
      <c r="L1278" s="5" t="s">
        <v>19</v>
      </c>
      <c r="M1278" s="5" t="s">
        <v>19</v>
      </c>
      <c r="N1278" s="5" t="s">
        <v>19</v>
      </c>
      <c r="O1278" s="5" t="s">
        <v>19</v>
      </c>
      <c r="P1278" s="5" t="str">
        <f>HYPERLINK("http://www.lghausys.co.kr/popup/rn/download/downloadPopup.jsp?from=plwindow&amp;uu=/upload/window/REPORT/LGH-WA20-324.pdf","50등급")</f>
        <v>50등급</v>
      </c>
      <c r="Q1278" s="5" t="str">
        <f>HYPERLINK("http://www.lghausys.co.kr/popup/rn/download/downloadPopup.jsp?from=plwindow&amp;uu=/upload/window/REPORT/LGH-WA20-324.pdf","400등급")</f>
        <v>400등급</v>
      </c>
      <c r="R1278" s="5" t="s">
        <v>19</v>
      </c>
      <c r="S1278" s="5" t="s">
        <v>19</v>
      </c>
      <c r="T1278" s="5" t="s">
        <v>19</v>
      </c>
      <c r="U1278" s="5" t="s">
        <v>19</v>
      </c>
      <c r="V1278" s="5" t="s">
        <v>19</v>
      </c>
      <c r="W1278" s="5" t="s">
        <v>152</v>
      </c>
      <c r="X1278"/>
    </row>
    <row r="1279" spans="1:24">
      <c r="A1279" t="s">
        <v>149</v>
      </c>
      <c r="B1279" t="s">
        <v>149</v>
      </c>
      <c r="C1279" t="s">
        <v>31</v>
      </c>
      <c r="D1279" t="s">
        <v>25</v>
      </c>
      <c r="E1279" t="s">
        <v>19</v>
      </c>
      <c r="F1279" t="s">
        <v>19</v>
      </c>
      <c r="G1279" t="s">
        <v>19</v>
      </c>
      <c r="H1279" t="s">
        <v>28</v>
      </c>
      <c r="I1279" t="s">
        <v>19</v>
      </c>
      <c r="J1279" t="s">
        <v>97</v>
      </c>
      <c r="K1279" s="21" t="s">
        <v>607</v>
      </c>
      <c r="L1279" s="5" t="s">
        <v>19</v>
      </c>
      <c r="M1279" s="5" t="s">
        <v>19</v>
      </c>
      <c r="N1279" s="5" t="s">
        <v>19</v>
      </c>
      <c r="O1279" s="5" t="str">
        <f>HYPERLINK("http://www.lghausys.co.kr/popup/rn/download/downloadPopup.jsp?from=plwindow&amp;uu=/upload/window/REPORT/LGH-WA20-325.pdf","1등급")</f>
        <v>1등급</v>
      </c>
      <c r="P1279" s="5" t="str">
        <f>HYPERLINK("http://www.lghausys.co.kr/popup/rn/download/downloadPopup.jsp?from=plwindow&amp;uu=/upload/window/REPORT/LGH-WA20-325.pdf","50등급")</f>
        <v>50등급</v>
      </c>
      <c r="Q1279" s="5" t="str">
        <f>HYPERLINK("http://www.lghausys.co.kr/popup/rn/download/downloadPopup.jsp?from=plwindow&amp;uu=/upload/window/REPORT/LGH-WA20-325.pdf","400등급")</f>
        <v>400등급</v>
      </c>
      <c r="R1279" s="5" t="s">
        <v>19</v>
      </c>
      <c r="S1279" s="5" t="s">
        <v>19</v>
      </c>
      <c r="T1279" s="5" t="s">
        <v>19</v>
      </c>
      <c r="U1279" s="5" t="s">
        <v>19</v>
      </c>
      <c r="V1279" s="5" t="s">
        <v>19</v>
      </c>
      <c r="W1279" s="5" t="s">
        <v>152</v>
      </c>
      <c r="X1279"/>
    </row>
    <row r="1280" spans="1:24">
      <c r="A1280" t="s">
        <v>73</v>
      </c>
      <c r="B1280" t="s">
        <v>73</v>
      </c>
      <c r="C1280" t="s">
        <v>31</v>
      </c>
      <c r="D1280" t="s">
        <v>25</v>
      </c>
      <c r="E1280" t="s">
        <v>19</v>
      </c>
      <c r="F1280" t="s">
        <v>19</v>
      </c>
      <c r="G1280" t="s">
        <v>19</v>
      </c>
      <c r="H1280" t="s">
        <v>28</v>
      </c>
      <c r="I1280" t="s">
        <v>19</v>
      </c>
      <c r="J1280" t="s">
        <v>74</v>
      </c>
      <c r="K1280" s="21" t="s">
        <v>607</v>
      </c>
      <c r="L1280" s="5" t="s">
        <v>19</v>
      </c>
      <c r="M1280" s="5" t="s">
        <v>19</v>
      </c>
      <c r="N1280" s="5" t="s">
        <v>19</v>
      </c>
      <c r="O1280" s="5" t="str">
        <f>HYPERLINK("http://www.lghausys.co.kr/popup/rn/download/downloadPopup.jsp?from=plwindow&amp;uu=/upload/window/REPORT/LGH-WA20-326.pdf","1등급")</f>
        <v>1등급</v>
      </c>
      <c r="P1280" s="5" t="str">
        <f>HYPERLINK("http://www.lghausys.co.kr/popup/rn/download/downloadPopup.jsp?from=plwindow&amp;uu=/upload/window/REPORT/LGH-WA20-326.pdf","50등급")</f>
        <v>50등급</v>
      </c>
      <c r="Q1280" s="5" t="str">
        <f>HYPERLINK("http://www.lghausys.co.kr/popup/rn/download/downloadPopup.jsp?from=plwindow&amp;uu=/upload/window/REPORT/LGH-WA20-326.pdf","360등급")</f>
        <v>360등급</v>
      </c>
      <c r="R1280" s="5" t="s">
        <v>19</v>
      </c>
      <c r="S1280" s="5" t="s">
        <v>19</v>
      </c>
      <c r="T1280" s="5" t="s">
        <v>19</v>
      </c>
      <c r="U1280" s="5" t="s">
        <v>19</v>
      </c>
      <c r="V1280" s="5" t="s">
        <v>19</v>
      </c>
      <c r="W1280" s="5" t="s">
        <v>152</v>
      </c>
      <c r="X1280"/>
    </row>
    <row r="1281" spans="1:24">
      <c r="A1281" t="s">
        <v>222</v>
      </c>
      <c r="B1281" t="s">
        <v>222</v>
      </c>
      <c r="C1281" t="s">
        <v>31</v>
      </c>
      <c r="D1281" t="s">
        <v>25</v>
      </c>
      <c r="E1281" t="s">
        <v>497</v>
      </c>
      <c r="F1281" t="s">
        <v>19</v>
      </c>
      <c r="G1281" t="s">
        <v>19</v>
      </c>
      <c r="H1281" t="s">
        <v>28</v>
      </c>
      <c r="I1281" t="s">
        <v>19</v>
      </c>
      <c r="J1281" t="s">
        <v>74</v>
      </c>
      <c r="K1281" s="21" t="s">
        <v>607</v>
      </c>
      <c r="L1281" s="5" t="s">
        <v>19</v>
      </c>
      <c r="M1281" s="5" t="s">
        <v>19</v>
      </c>
      <c r="N1281" s="5" t="s">
        <v>19</v>
      </c>
      <c r="O1281" s="5" t="str">
        <f>HYPERLINK("http://www.lghausys.co.kr/popup/rn/download/downloadPopup.jsp?from=plwindow&amp;uu=/upload/window/REPORT/LGH-WA20-327.pdf","1등급")</f>
        <v>1등급</v>
      </c>
      <c r="P1281" s="5" t="str">
        <f>HYPERLINK("http://www.lghausys.co.kr/popup/rn/download/downloadPopup.jsp?from=plwindow&amp;uu=/upload/window/REPORT/LGH-WA20-327.pdf","50등급")</f>
        <v>50등급</v>
      </c>
      <c r="Q1281" s="5" t="str">
        <f>HYPERLINK("http://www.lghausys.co.kr/popup/rn/download/downloadPopup.jsp?from=plwindow&amp;uu=/upload/window/REPORT/LGH-WA20-327.pdf","360등급")</f>
        <v>360등급</v>
      </c>
      <c r="R1281" s="5" t="s">
        <v>19</v>
      </c>
      <c r="S1281" s="5" t="s">
        <v>19</v>
      </c>
      <c r="T1281" s="5" t="s">
        <v>19</v>
      </c>
      <c r="U1281" s="5" t="s">
        <v>19</v>
      </c>
      <c r="V1281" s="5" t="s">
        <v>19</v>
      </c>
      <c r="W1281" s="5" t="s">
        <v>152</v>
      </c>
      <c r="X1281"/>
    </row>
    <row r="1282" spans="1:24">
      <c r="A1282" t="s">
        <v>125</v>
      </c>
      <c r="B1282" t="s">
        <v>125</v>
      </c>
      <c r="C1282" t="s">
        <v>31</v>
      </c>
      <c r="D1282" t="s">
        <v>516</v>
      </c>
      <c r="E1282" t="s">
        <v>19</v>
      </c>
      <c r="F1282" t="s">
        <v>19</v>
      </c>
      <c r="G1282" t="s">
        <v>19</v>
      </c>
      <c r="H1282" t="s">
        <v>19</v>
      </c>
      <c r="I1282" t="s">
        <v>19</v>
      </c>
      <c r="J1282" t="s">
        <v>97</v>
      </c>
      <c r="K1282" s="21" t="s">
        <v>607</v>
      </c>
      <c r="L1282" s="5" t="s">
        <v>19</v>
      </c>
      <c r="M1282" s="5" t="s">
        <v>19</v>
      </c>
      <c r="N1282" s="5" t="s">
        <v>19</v>
      </c>
      <c r="O1282" s="5" t="str">
        <f>HYPERLINK("http://www.lghausys.co.kr/popup/rn/download/downloadPopup.jsp?from=plwindow&amp;uu=/upload/window/REPORT/LGH-WA20-328.pdf","2등급")</f>
        <v>2등급</v>
      </c>
      <c r="P1282" s="5" t="str">
        <f>HYPERLINK("http://www.lghausys.co.kr/popup/rn/download/downloadPopup.jsp?from=plwindow&amp;uu=/upload/window/REPORT/LGH-WA20-328.pdf","15등급")</f>
        <v>15등급</v>
      </c>
      <c r="Q1282" s="5" t="str">
        <f>HYPERLINK("http://www.lghausys.co.kr/popup/rn/download/downloadPopup.jsp?from=plwindow&amp;uu=/upload/window/REPORT/LGH-WA20-328.pdf","240등급")</f>
        <v>240등급</v>
      </c>
      <c r="R1282" s="5" t="s">
        <v>19</v>
      </c>
      <c r="S1282" s="5" t="s">
        <v>19</v>
      </c>
      <c r="T1282" s="5" t="s">
        <v>19</v>
      </c>
      <c r="U1282" s="5" t="s">
        <v>19</v>
      </c>
      <c r="V1282" s="5" t="s">
        <v>19</v>
      </c>
      <c r="W1282" s="5" t="s">
        <v>152</v>
      </c>
      <c r="X1282"/>
    </row>
    <row r="1283" spans="1:24">
      <c r="A1283" t="s">
        <v>73</v>
      </c>
      <c r="B1283" t="s">
        <v>73</v>
      </c>
      <c r="C1283" t="s">
        <v>31</v>
      </c>
      <c r="D1283" t="s">
        <v>516</v>
      </c>
      <c r="E1283" t="s">
        <v>19</v>
      </c>
      <c r="F1283" t="s">
        <v>19</v>
      </c>
      <c r="G1283" t="s">
        <v>19</v>
      </c>
      <c r="H1283" t="s">
        <v>25</v>
      </c>
      <c r="I1283" t="s">
        <v>19</v>
      </c>
      <c r="J1283" t="s">
        <v>97</v>
      </c>
      <c r="K1283" s="21" t="s">
        <v>607</v>
      </c>
      <c r="L1283" s="5" t="s">
        <v>19</v>
      </c>
      <c r="M1283" s="5" t="s">
        <v>19</v>
      </c>
      <c r="N1283" s="5" t="s">
        <v>19</v>
      </c>
      <c r="O1283" s="5" t="str">
        <f>HYPERLINK("http://www.lghausys.co.kr/popup/rn/download/downloadPopup.jsp?from=plwindow&amp;uu=/upload/window/REPORT/LGH-WA20-329.pdf","1등급")</f>
        <v>1등급</v>
      </c>
      <c r="P1283" s="5" t="str">
        <f>HYPERLINK("http://www.lghausys.co.kr/popup/rn/download/downloadPopup.jsp?from=plwindow&amp;uu=/upload/window/REPORT/LGH-WA20-329.pdf","50등급")</f>
        <v>50등급</v>
      </c>
      <c r="Q1283" s="5" t="str">
        <f>HYPERLINK("http://www.lghausys.co.kr/popup/rn/download/downloadPopup.jsp?from=plwindow&amp;uu=/upload/window/REPORT/LGH-WA20-329.pdf","400등급")</f>
        <v>400등급</v>
      </c>
      <c r="R1283" s="5" t="s">
        <v>19</v>
      </c>
      <c r="S1283" s="5" t="s">
        <v>19</v>
      </c>
      <c r="T1283" s="5" t="s">
        <v>19</v>
      </c>
      <c r="U1283" s="5" t="s">
        <v>19</v>
      </c>
      <c r="V1283" s="5" t="s">
        <v>19</v>
      </c>
      <c r="W1283" s="5" t="s">
        <v>152</v>
      </c>
      <c r="X1283"/>
    </row>
    <row r="1284" spans="1:24">
      <c r="A1284" t="s">
        <v>139</v>
      </c>
      <c r="B1284" t="s">
        <v>139</v>
      </c>
      <c r="C1284" t="s">
        <v>31</v>
      </c>
      <c r="D1284" t="s">
        <v>517</v>
      </c>
      <c r="E1284" t="s">
        <v>19</v>
      </c>
      <c r="F1284" t="s">
        <v>516</v>
      </c>
      <c r="G1284" t="s">
        <v>182</v>
      </c>
      <c r="H1284" t="s">
        <v>25</v>
      </c>
      <c r="I1284" t="s">
        <v>19</v>
      </c>
      <c r="J1284" t="s">
        <v>97</v>
      </c>
      <c r="K1284" s="21" t="s">
        <v>607</v>
      </c>
      <c r="L1284" s="5" t="s">
        <v>19</v>
      </c>
      <c r="M1284" s="5" t="s">
        <v>19</v>
      </c>
      <c r="N1284" s="5" t="s">
        <v>19</v>
      </c>
      <c r="O1284" s="5" t="str">
        <f>HYPERLINK("http://www.lghausys.co.kr/popup/rn/download/downloadPopup.jsp?from=plwindow&amp;uu=/upload/window/REPORT/LGH-WA20-330.pdf","1등급")</f>
        <v>1등급</v>
      </c>
      <c r="P1284" s="5" t="str">
        <f>HYPERLINK("http://www.lghausys.co.kr/popup/rn/download/downloadPopup.jsp?from=plwindow&amp;uu=/upload/window/REPORT/LGH-WA20-330.pdf","50등급")</f>
        <v>50등급</v>
      </c>
      <c r="Q1284" s="5" t="str">
        <f>HYPERLINK("http://www.lghausys.co.kr/popup/rn/download/downloadPopup.jsp?from=plwindow&amp;uu=/upload/window/REPORT/LGH-WA20-330.pdf","400등급")</f>
        <v>400등급</v>
      </c>
      <c r="R1284" s="5" t="s">
        <v>19</v>
      </c>
      <c r="S1284" s="5" t="s">
        <v>19</v>
      </c>
      <c r="T1284" s="5" t="s">
        <v>19</v>
      </c>
      <c r="U1284" s="5" t="s">
        <v>19</v>
      </c>
      <c r="V1284" s="5" t="s">
        <v>19</v>
      </c>
      <c r="W1284" s="5" t="s">
        <v>152</v>
      </c>
      <c r="X1284"/>
    </row>
    <row r="1285" spans="1:24">
      <c r="A1285" t="s">
        <v>510</v>
      </c>
      <c r="B1285" t="s">
        <v>510</v>
      </c>
      <c r="C1285" t="s">
        <v>31</v>
      </c>
      <c r="D1285" t="s">
        <v>68</v>
      </c>
      <c r="E1285" t="s">
        <v>19</v>
      </c>
      <c r="F1285" t="s">
        <v>19</v>
      </c>
      <c r="G1285" t="s">
        <v>19</v>
      </c>
      <c r="H1285" t="s">
        <v>19</v>
      </c>
      <c r="I1285" t="s">
        <v>19</v>
      </c>
      <c r="J1285" t="s">
        <v>97</v>
      </c>
      <c r="K1285" s="21" t="s">
        <v>607</v>
      </c>
      <c r="L1285" s="5" t="s">
        <v>19</v>
      </c>
      <c r="M1285" s="5" t="s">
        <v>19</v>
      </c>
      <c r="N1285" s="5" t="s">
        <v>19</v>
      </c>
      <c r="O1285" s="5" t="str">
        <f>HYPERLINK("http://www.lghausys.co.kr/popup/rn/download/downloadPopup.jsp?from=plwindow&amp;uu=/upload/window/REPORT/LGH-WA20-331.pdf","2등급")</f>
        <v>2등급</v>
      </c>
      <c r="P1285" s="5" t="str">
        <f>HYPERLINK("http://www.lghausys.co.kr/popup/rn/download/downloadPopup.jsp?from=plwindow&amp;uu=/upload/window/REPORT/LGH-WA20-331.pdf","25등급")</f>
        <v>25등급</v>
      </c>
      <c r="Q1285" s="5" t="str">
        <f>HYPERLINK("http://www.lghausys.co.kr/popup/rn/download/downloadPopup.jsp?from=plwindow&amp;uu=/upload/window/REPORT/LGH-WA20-331.pdf","240등급")</f>
        <v>240등급</v>
      </c>
      <c r="R1285" s="5" t="s">
        <v>19</v>
      </c>
      <c r="S1285" s="5" t="s">
        <v>19</v>
      </c>
      <c r="T1285" s="5" t="s">
        <v>19</v>
      </c>
      <c r="U1285" s="5" t="s">
        <v>19</v>
      </c>
      <c r="V1285" s="5" t="s">
        <v>19</v>
      </c>
      <c r="W1285" s="5" t="s">
        <v>152</v>
      </c>
      <c r="X1285"/>
    </row>
    <row r="1286" spans="1:24">
      <c r="A1286" t="s">
        <v>513</v>
      </c>
      <c r="B1286" t="s">
        <v>513</v>
      </c>
      <c r="C1286" t="s">
        <v>31</v>
      </c>
      <c r="D1286" t="s">
        <v>68</v>
      </c>
      <c r="E1286" t="s">
        <v>19</v>
      </c>
      <c r="F1286" t="s">
        <v>19</v>
      </c>
      <c r="G1286" t="s">
        <v>19</v>
      </c>
      <c r="H1286" t="s">
        <v>68</v>
      </c>
      <c r="I1286" t="s">
        <v>19</v>
      </c>
      <c r="J1286" t="s">
        <v>97</v>
      </c>
      <c r="K1286" s="21" t="s">
        <v>607</v>
      </c>
      <c r="L1286" s="5" t="s">
        <v>19</v>
      </c>
      <c r="M1286" s="5" t="s">
        <v>19</v>
      </c>
      <c r="N1286" s="5" t="s">
        <v>19</v>
      </c>
      <c r="O1286" s="5" t="str">
        <f>HYPERLINK("http://www.lghausys.co.kr/popup/rn/download/downloadPopup.jsp?from=plwindow&amp;uu=/upload/window/REPORT/LGH-WA20-332.pdf","1등급")</f>
        <v>1등급</v>
      </c>
      <c r="P1286" s="5" t="str">
        <f>HYPERLINK("http://www.lghausys.co.kr/popup/rn/download/downloadPopup.jsp?from=plwindow&amp;uu=/upload/window/REPORT/LGH-WA20-332.pdf","50등급")</f>
        <v>50등급</v>
      </c>
      <c r="Q1286" s="5" t="str">
        <f>HYPERLINK("http://www.lghausys.co.kr/popup/rn/download/downloadPopup.jsp?from=plwindow&amp;uu=/upload/window/REPORT/LGH-WA20-332.pdf","400등급")</f>
        <v>400등급</v>
      </c>
      <c r="R1286" s="5" t="s">
        <v>19</v>
      </c>
      <c r="S1286" s="5" t="s">
        <v>19</v>
      </c>
      <c r="T1286" s="5" t="s">
        <v>19</v>
      </c>
      <c r="U1286" s="5" t="s">
        <v>19</v>
      </c>
      <c r="V1286" s="5" t="s">
        <v>19</v>
      </c>
      <c r="W1286" s="5" t="s">
        <v>152</v>
      </c>
      <c r="X1286"/>
    </row>
    <row r="1287" spans="1:24">
      <c r="A1287" t="s">
        <v>73</v>
      </c>
      <c r="B1287" t="s">
        <v>73</v>
      </c>
      <c r="C1287" t="s">
        <v>34</v>
      </c>
      <c r="D1287" t="s">
        <v>25</v>
      </c>
      <c r="E1287" t="s">
        <v>19</v>
      </c>
      <c r="F1287" t="s">
        <v>19</v>
      </c>
      <c r="G1287" t="s">
        <v>19</v>
      </c>
      <c r="H1287" t="s">
        <v>28</v>
      </c>
      <c r="I1287" t="s">
        <v>19</v>
      </c>
      <c r="J1287" t="s">
        <v>74</v>
      </c>
      <c r="K1287" s="21" t="s">
        <v>607</v>
      </c>
      <c r="L1287" s="5" t="s">
        <v>19</v>
      </c>
      <c r="M1287" s="5" t="s">
        <v>19</v>
      </c>
      <c r="N1287" s="5" t="str">
        <f>HYPERLINK("http://www.lghausys.co.kr/popup/rn/download/downloadPopup.jsp?from=plwindow&amp;uu=/upload/window/REPORT/LGH-TA20-321.pdf","1.012")</f>
        <v>1.012</v>
      </c>
      <c r="O1287" s="5" t="s">
        <v>19</v>
      </c>
      <c r="P1287" s="5" t="s">
        <v>19</v>
      </c>
      <c r="Q1287" s="5" t="s">
        <v>19</v>
      </c>
      <c r="R1287" s="5" t="s">
        <v>19</v>
      </c>
      <c r="S1287" s="5" t="s">
        <v>19</v>
      </c>
      <c r="T1287" s="5" t="s">
        <v>19</v>
      </c>
      <c r="U1287" s="5" t="s">
        <v>19</v>
      </c>
      <c r="V1287" s="5" t="s">
        <v>19</v>
      </c>
      <c r="W1287" s="5" t="s">
        <v>75</v>
      </c>
      <c r="X1287"/>
    </row>
    <row r="1288" spans="1:24">
      <c r="A1288" t="s">
        <v>518</v>
      </c>
      <c r="B1288" t="s">
        <v>518</v>
      </c>
      <c r="C1288" t="s">
        <v>31</v>
      </c>
      <c r="D1288" t="s">
        <v>158</v>
      </c>
      <c r="E1288" t="s">
        <v>19</v>
      </c>
      <c r="F1288" t="s">
        <v>68</v>
      </c>
      <c r="G1288" t="s">
        <v>182</v>
      </c>
      <c r="H1288" t="s">
        <v>126</v>
      </c>
      <c r="I1288" t="s">
        <v>19</v>
      </c>
      <c r="J1288" t="s">
        <v>99</v>
      </c>
      <c r="K1288" s="21" t="s">
        <v>607</v>
      </c>
      <c r="L1288" s="5" t="s">
        <v>19</v>
      </c>
      <c r="M1288" s="5" t="s">
        <v>19</v>
      </c>
      <c r="N1288" s="5" t="s">
        <v>19</v>
      </c>
      <c r="O1288" s="5" t="str">
        <f>HYPERLINK("http://www.lghausys.co.kr/popup/rn/download/downloadPopup.jsp?from=plwindow&amp;uu=/upload/window/REPORT/LGH-WA20-337.pdf","1등급")</f>
        <v>1등급</v>
      </c>
      <c r="P1288" s="5" t="s">
        <v>19</v>
      </c>
      <c r="Q1288" s="5" t="s">
        <v>19</v>
      </c>
      <c r="R1288" s="5" t="s">
        <v>19</v>
      </c>
      <c r="S1288" s="5" t="s">
        <v>19</v>
      </c>
      <c r="T1288" s="5" t="s">
        <v>19</v>
      </c>
      <c r="U1288" s="5" t="s">
        <v>19</v>
      </c>
      <c r="V1288" s="5" t="s">
        <v>19</v>
      </c>
      <c r="W1288" s="5" t="s">
        <v>152</v>
      </c>
      <c r="X1288"/>
    </row>
    <row r="1289" spans="1:24">
      <c r="A1289" t="s">
        <v>69</v>
      </c>
      <c r="B1289" t="s">
        <v>69</v>
      </c>
      <c r="C1289" t="s">
        <v>31</v>
      </c>
      <c r="D1289" t="s">
        <v>51</v>
      </c>
      <c r="E1289" t="s">
        <v>19</v>
      </c>
      <c r="F1289" t="s">
        <v>19</v>
      </c>
      <c r="G1289" t="s">
        <v>19</v>
      </c>
      <c r="H1289" t="s">
        <v>19</v>
      </c>
      <c r="I1289" t="s">
        <v>19</v>
      </c>
      <c r="J1289" t="s">
        <v>97</v>
      </c>
      <c r="K1289" s="21" t="s">
        <v>607</v>
      </c>
      <c r="L1289" s="5" t="s">
        <v>19</v>
      </c>
      <c r="M1289" s="5" t="s">
        <v>19</v>
      </c>
      <c r="N1289" s="5" t="s">
        <v>19</v>
      </c>
      <c r="O1289" s="5" t="str">
        <f>HYPERLINK("http://www.lghausys.co.kr/popup/rn/download/downloadPopup.jsp?from=plwindow&amp;uu=/upload/window/REPORT/LGH-WA20-342.pdf","1등급")</f>
        <v>1등급</v>
      </c>
      <c r="P1289" s="5" t="str">
        <f>HYPERLINK("http://www.lghausys.co.kr/popup/rn/download/downloadPopup.jsp?from=plwindow&amp;uu=/upload/window/REPORT/LGH-WA20-342.pdf","50등급")</f>
        <v>50등급</v>
      </c>
      <c r="Q1289" s="5" t="str">
        <f>HYPERLINK("http://www.lghausys.co.kr/popup/rn/download/downloadPopup.jsp?from=plwindow&amp;uu=/upload/window/REPORT/LGH-WA20-342.pdf","280등급")</f>
        <v>280등급</v>
      </c>
      <c r="R1289" s="5" t="s">
        <v>19</v>
      </c>
      <c r="S1289" s="5" t="s">
        <v>19</v>
      </c>
      <c r="T1289" s="5" t="s">
        <v>19</v>
      </c>
      <c r="U1289" s="5" t="s">
        <v>19</v>
      </c>
      <c r="V1289" s="5" t="s">
        <v>19</v>
      </c>
      <c r="W1289" s="5" t="s">
        <v>152</v>
      </c>
      <c r="X1289"/>
    </row>
    <row r="1290" spans="1:24">
      <c r="A1290" t="s">
        <v>57</v>
      </c>
      <c r="B1290" t="s">
        <v>57</v>
      </c>
      <c r="C1290" t="s">
        <v>31</v>
      </c>
      <c r="D1290" t="s">
        <v>519</v>
      </c>
      <c r="E1290" t="s">
        <v>19</v>
      </c>
      <c r="F1290" t="s">
        <v>19</v>
      </c>
      <c r="G1290" t="s">
        <v>19</v>
      </c>
      <c r="H1290" t="s">
        <v>19</v>
      </c>
      <c r="I1290" t="s">
        <v>19</v>
      </c>
      <c r="J1290" t="s">
        <v>99</v>
      </c>
      <c r="K1290" s="21" t="s">
        <v>607</v>
      </c>
      <c r="L1290" s="5" t="s">
        <v>19</v>
      </c>
      <c r="M1290" s="5" t="s">
        <v>19</v>
      </c>
      <c r="N1290" s="5" t="s">
        <v>19</v>
      </c>
      <c r="O1290" s="5" t="str">
        <f>HYPERLINK("http://www.lghausys.co.kr/popup/rn/download/downloadPopup.jsp?from=plwindow&amp;uu=/upload/window/REPORT/LGH-WA20-343.pdf","1등급")</f>
        <v>1등급</v>
      </c>
      <c r="P1290" s="5" t="str">
        <f>HYPERLINK("http://www.lghausys.co.kr/popup/rn/download/downloadPopup.jsp?from=plwindow&amp;uu=/upload/window/REPORT/LGH-WA20-343.pdf","35등급")</f>
        <v>35등급</v>
      </c>
      <c r="Q1290" s="5" t="str">
        <f>HYPERLINK("http://www.lghausys.co.kr/popup/rn/download/downloadPopup.jsp?from=plwindow&amp;uu=/upload/window/REPORT/LGH-WA20-343.pdf","140등급")</f>
        <v>140등급</v>
      </c>
      <c r="R1290" s="5" t="s">
        <v>19</v>
      </c>
      <c r="S1290" s="5" t="s">
        <v>19</v>
      </c>
      <c r="T1290" s="5" t="s">
        <v>19</v>
      </c>
      <c r="U1290" s="5" t="s">
        <v>19</v>
      </c>
      <c r="V1290" s="5" t="s">
        <v>19</v>
      </c>
      <c r="W1290" s="5" t="s">
        <v>152</v>
      </c>
      <c r="X1290"/>
    </row>
    <row r="1291" spans="1:24">
      <c r="A1291" t="s">
        <v>520</v>
      </c>
      <c r="B1291" t="s">
        <v>520</v>
      </c>
      <c r="C1291" t="s">
        <v>20</v>
      </c>
      <c r="D1291" t="s">
        <v>486</v>
      </c>
      <c r="E1291" t="s">
        <v>19</v>
      </c>
      <c r="F1291" t="s">
        <v>19</v>
      </c>
      <c r="G1291" t="s">
        <v>19</v>
      </c>
      <c r="H1291" t="s">
        <v>19</v>
      </c>
      <c r="I1291" t="s">
        <v>19</v>
      </c>
      <c r="J1291" t="s">
        <v>184</v>
      </c>
      <c r="K1291" s="21" t="str">
        <f>IF(X1291&lt;=0.9,HYPERLINK("http://www.lxhausys.co.kr/popup/rn/download/downloadPopup.jsp?from=plwindow&amp;uu=/upload/window/REPORT/LGH-TW20-062.pdf","1등급"),IF(X1291&lt;=1.2,HYPERLINK("http://www.lxhausys.co.kr/popup/rn/download/downloadPopup.jsp?from=plwindow&amp;uu=/upload/window/REPORT/LGH-TW20-062.pdf","2등급"),IF(X1291&lt;=1.8,HYPERLINK("http://www.lxhausys.co.kr/popup/rn/download/downloadPopup.jsp?from=plwindow&amp;uu=/upload/window/REPORT/LGH-TW20-062.pdf","3등급"),IF(X1291&lt;=2.3,HYPERLINK("http://www.lxhausys.co.kr/popup/rn/download/downloadPopup.jsp?from=plwindow&amp;uu=/upload/window/REPORT/LGH-TW20-062.pdf","4등급"),IF(X1291&lt;=2.8,HYPERLINK("http://www.lxhausys.co.kr/popup/rn/download/downloadPopup.jsp?from=plwindow&amp;uu=/upload/window/REPORT/LGH-TW20-062.pdf","5등급"),HYPERLINK("http://www.lxhausys.co.kr/popup/rn/download/downloadPopup.jsp?from=plwindow&amp;uu=/upload/window/REPORT/LGH-TW20-062.pdf","등급외"))))))</f>
        <v>2등급</v>
      </c>
      <c r="L1291" s="5">
        <v>0.98499999999999999</v>
      </c>
      <c r="M1291" s="5" t="s">
        <v>521</v>
      </c>
      <c r="N1291" s="5" t="s">
        <v>607</v>
      </c>
      <c r="O1291" s="5" t="s">
        <v>19</v>
      </c>
      <c r="P1291" s="5" t="s">
        <v>19</v>
      </c>
      <c r="Q1291" s="5" t="s">
        <v>19</v>
      </c>
      <c r="R1291" s="5" t="s">
        <v>19</v>
      </c>
      <c r="S1291" s="5" t="s">
        <v>19</v>
      </c>
      <c r="T1291" s="5" t="s">
        <v>19</v>
      </c>
      <c r="U1291" s="5" t="s">
        <v>19</v>
      </c>
      <c r="V1291" s="5" t="s">
        <v>19</v>
      </c>
      <c r="W1291" s="5" t="s">
        <v>19</v>
      </c>
      <c r="X1291" s="19">
        <f>L1291</f>
        <v>0.98499999999999999</v>
      </c>
    </row>
    <row r="1292" spans="1:24">
      <c r="A1292" t="s">
        <v>522</v>
      </c>
      <c r="B1292" t="s">
        <v>522</v>
      </c>
      <c r="C1292" t="s">
        <v>20</v>
      </c>
      <c r="D1292" t="s">
        <v>486</v>
      </c>
      <c r="E1292" t="s">
        <v>19</v>
      </c>
      <c r="F1292" t="s">
        <v>19</v>
      </c>
      <c r="G1292" t="s">
        <v>19</v>
      </c>
      <c r="H1292" t="s">
        <v>19</v>
      </c>
      <c r="I1292" t="s">
        <v>19</v>
      </c>
      <c r="J1292" t="s">
        <v>184</v>
      </c>
      <c r="K1292" s="21" t="str">
        <f>IF(X1292&lt;=0.9,HYPERLINK("http://www.lxhausys.co.kr/popup/rn/download/downloadPopup.jsp?from=plwindow&amp;uu=/upload/window/REPORT/LGH-TW20-063.pdf","1등급"),IF(X1292&lt;=1.2,HYPERLINK("http://www.lxhausys.co.kr/popup/rn/download/downloadPopup.jsp?from=plwindow&amp;uu=/upload/window/REPORT/LGH-TW20-063.pdf","2등급"),IF(X1292&lt;=1.8,HYPERLINK("http://www.lxhausys.co.kr/popup/rn/download/downloadPopup.jsp?from=plwindow&amp;uu=/upload/window/REPORT/LGH-TW20-063.pdf","3등급"),IF(X1292&lt;=2.3,HYPERLINK("http://www.lxhausys.co.kr/popup/rn/download/downloadPopup.jsp?from=plwindow&amp;uu=/upload/window/REPORT/LGH-TW20-063.pdf","4등급"),IF(X1292&lt;=2.8,HYPERLINK("http://www.lxhausys.co.kr/popup/rn/download/downloadPopup.jsp?from=plwindow&amp;uu=/upload/window/REPORT/LGH-TW20-063.pdf","5등급"),HYPERLINK("http://www.lxhausys.co.kr/popup/rn/download/downloadPopup.jsp?from=plwindow&amp;uu=/upload/window/REPORT/LGH-TW20-063.pdf","등급외"))))))</f>
        <v>2등급</v>
      </c>
      <c r="L1292" s="5">
        <v>0.98299999999999998</v>
      </c>
      <c r="M1292" s="5" t="s">
        <v>523</v>
      </c>
      <c r="N1292" s="5" t="s">
        <v>607</v>
      </c>
      <c r="O1292" s="5" t="s">
        <v>19</v>
      </c>
      <c r="P1292" s="5" t="s">
        <v>19</v>
      </c>
      <c r="Q1292" s="5" t="s">
        <v>19</v>
      </c>
      <c r="R1292" s="5" t="s">
        <v>19</v>
      </c>
      <c r="S1292" s="5" t="s">
        <v>19</v>
      </c>
      <c r="T1292" s="5" t="s">
        <v>19</v>
      </c>
      <c r="U1292" s="5" t="s">
        <v>19</v>
      </c>
      <c r="V1292" s="5" t="s">
        <v>19</v>
      </c>
      <c r="W1292" s="5" t="s">
        <v>19</v>
      </c>
      <c r="X1292" s="19">
        <f>L1292</f>
        <v>0.98299999999999998</v>
      </c>
    </row>
    <row r="1293" spans="1:24">
      <c r="A1293" t="s">
        <v>518</v>
      </c>
      <c r="B1293" t="s">
        <v>518</v>
      </c>
      <c r="C1293" t="s">
        <v>34</v>
      </c>
      <c r="D1293" t="s">
        <v>524</v>
      </c>
      <c r="E1293" t="s">
        <v>19</v>
      </c>
      <c r="F1293" t="s">
        <v>102</v>
      </c>
      <c r="G1293" t="s">
        <v>182</v>
      </c>
      <c r="H1293" t="s">
        <v>102</v>
      </c>
      <c r="I1293" t="s">
        <v>19</v>
      </c>
      <c r="J1293" t="s">
        <v>97</v>
      </c>
      <c r="K1293" s="21" t="s">
        <v>607</v>
      </c>
      <c r="L1293" s="5" t="s">
        <v>19</v>
      </c>
      <c r="M1293" s="5" t="s">
        <v>19</v>
      </c>
      <c r="N1293" s="5" t="str">
        <f>HYPERLINK("http://www.lghausys.co.kr/popup/rn/download/downloadPopup.jsp?from=plwindow&amp;uu=/upload/window/REPORT/LGH-TA20-329.pdf","0.745")</f>
        <v>0.745</v>
      </c>
      <c r="O1293" s="5" t="s">
        <v>19</v>
      </c>
      <c r="P1293" s="5" t="s">
        <v>19</v>
      </c>
      <c r="Q1293" s="5" t="s">
        <v>19</v>
      </c>
      <c r="R1293" s="5" t="s">
        <v>19</v>
      </c>
      <c r="S1293" s="5" t="s">
        <v>19</v>
      </c>
      <c r="T1293" s="5" t="s">
        <v>19</v>
      </c>
      <c r="U1293" s="5" t="s">
        <v>19</v>
      </c>
      <c r="V1293" s="5" t="s">
        <v>19</v>
      </c>
      <c r="W1293" s="5" t="s">
        <v>75</v>
      </c>
      <c r="X1293"/>
    </row>
    <row r="1294" spans="1:24">
      <c r="A1294" t="s">
        <v>125</v>
      </c>
      <c r="B1294" t="s">
        <v>125</v>
      </c>
      <c r="C1294" t="s">
        <v>34</v>
      </c>
      <c r="D1294" t="s">
        <v>516</v>
      </c>
      <c r="E1294" t="s">
        <v>19</v>
      </c>
      <c r="F1294" t="s">
        <v>19</v>
      </c>
      <c r="G1294" t="s">
        <v>19</v>
      </c>
      <c r="H1294" t="s">
        <v>19</v>
      </c>
      <c r="I1294" t="s">
        <v>19</v>
      </c>
      <c r="J1294" t="s">
        <v>97</v>
      </c>
      <c r="K1294" s="21" t="s">
        <v>607</v>
      </c>
      <c r="L1294" s="5" t="s">
        <v>19</v>
      </c>
      <c r="M1294" s="5" t="s">
        <v>19</v>
      </c>
      <c r="N1294" s="5" t="str">
        <f>HYPERLINK("http://www.lghausys.co.kr/popup/rn/download/downloadPopup.jsp?from=plwindow&amp;uu=/upload/window/REPORT/LGH-TA20-330.pdf","2.028")</f>
        <v>2.028</v>
      </c>
      <c r="O1294" s="5" t="s">
        <v>19</v>
      </c>
      <c r="P1294" s="5" t="s">
        <v>19</v>
      </c>
      <c r="Q1294" s="5" t="s">
        <v>19</v>
      </c>
      <c r="R1294" s="5" t="s">
        <v>19</v>
      </c>
      <c r="S1294" s="5" t="s">
        <v>19</v>
      </c>
      <c r="T1294" s="5" t="s">
        <v>19</v>
      </c>
      <c r="U1294" s="5" t="s">
        <v>19</v>
      </c>
      <c r="V1294" s="5" t="s">
        <v>19</v>
      </c>
      <c r="W1294" s="5" t="s">
        <v>75</v>
      </c>
      <c r="X1294"/>
    </row>
    <row r="1295" spans="1:24">
      <c r="A1295" t="s">
        <v>52</v>
      </c>
      <c r="B1295" t="s">
        <v>52</v>
      </c>
      <c r="C1295" t="s">
        <v>34</v>
      </c>
      <c r="D1295" t="s">
        <v>516</v>
      </c>
      <c r="E1295" t="s">
        <v>19</v>
      </c>
      <c r="F1295" t="s">
        <v>19</v>
      </c>
      <c r="G1295" t="s">
        <v>19</v>
      </c>
      <c r="H1295" t="s">
        <v>25</v>
      </c>
      <c r="I1295" t="s">
        <v>19</v>
      </c>
      <c r="J1295" t="s">
        <v>97</v>
      </c>
      <c r="K1295" s="21" t="s">
        <v>607</v>
      </c>
      <c r="L1295" s="5" t="s">
        <v>19</v>
      </c>
      <c r="M1295" s="5" t="s">
        <v>19</v>
      </c>
      <c r="N1295" s="5" t="str">
        <f>HYPERLINK("http://www.lghausys.co.kr/popup/rn/download/downloadPopup.jsp?from=plwindow&amp;uu=/upload/window/REPORT/LGH-TA20-331.pdf","0.963")</f>
        <v>0.963</v>
      </c>
      <c r="O1295" s="5" t="s">
        <v>19</v>
      </c>
      <c r="P1295" s="5" t="s">
        <v>19</v>
      </c>
      <c r="Q1295" s="5" t="s">
        <v>19</v>
      </c>
      <c r="R1295" s="5" t="s">
        <v>19</v>
      </c>
      <c r="S1295" s="5" t="s">
        <v>19</v>
      </c>
      <c r="T1295" s="5" t="s">
        <v>19</v>
      </c>
      <c r="U1295" s="5" t="s">
        <v>19</v>
      </c>
      <c r="V1295" s="5" t="s">
        <v>19</v>
      </c>
      <c r="W1295" s="5" t="s">
        <v>75</v>
      </c>
      <c r="X1295"/>
    </row>
    <row r="1296" spans="1:24">
      <c r="A1296" t="s">
        <v>139</v>
      </c>
      <c r="B1296" t="s">
        <v>139</v>
      </c>
      <c r="C1296" t="s">
        <v>34</v>
      </c>
      <c r="D1296" t="s">
        <v>525</v>
      </c>
      <c r="E1296" t="s">
        <v>19</v>
      </c>
      <c r="F1296" t="s">
        <v>526</v>
      </c>
      <c r="G1296" t="s">
        <v>182</v>
      </c>
      <c r="H1296" t="s">
        <v>25</v>
      </c>
      <c r="I1296" t="s">
        <v>19</v>
      </c>
      <c r="J1296" t="s">
        <v>97</v>
      </c>
      <c r="K1296" s="21" t="s">
        <v>607</v>
      </c>
      <c r="L1296" s="5" t="s">
        <v>19</v>
      </c>
      <c r="M1296" s="5" t="s">
        <v>19</v>
      </c>
      <c r="N1296" s="5" t="str">
        <f>HYPERLINK("http://www.lghausys.co.kr/popup/rn/download/downloadPopup.jsp?from=plwindow&amp;uu=/upload/window/REPORT/LGH-TA20-332.pdf","0.969")</f>
        <v>0.969</v>
      </c>
      <c r="O1296" s="5" t="s">
        <v>19</v>
      </c>
      <c r="P1296" s="5" t="s">
        <v>19</v>
      </c>
      <c r="Q1296" s="5" t="s">
        <v>19</v>
      </c>
      <c r="R1296" s="5" t="s">
        <v>19</v>
      </c>
      <c r="S1296" s="5" t="s">
        <v>19</v>
      </c>
      <c r="T1296" s="5" t="s">
        <v>19</v>
      </c>
      <c r="U1296" s="5" t="s">
        <v>19</v>
      </c>
      <c r="V1296" s="5" t="s">
        <v>19</v>
      </c>
      <c r="W1296" s="5" t="s">
        <v>75</v>
      </c>
      <c r="X1296"/>
    </row>
    <row r="1297" spans="1:24">
      <c r="A1297" t="s">
        <v>144</v>
      </c>
      <c r="B1297" t="s">
        <v>144</v>
      </c>
      <c r="C1297" t="s">
        <v>34</v>
      </c>
      <c r="D1297" t="s">
        <v>28</v>
      </c>
      <c r="E1297" t="s">
        <v>19</v>
      </c>
      <c r="F1297" t="s">
        <v>19</v>
      </c>
      <c r="G1297" t="s">
        <v>19</v>
      </c>
      <c r="H1297" t="s">
        <v>25</v>
      </c>
      <c r="I1297" t="s">
        <v>19</v>
      </c>
      <c r="J1297" t="s">
        <v>97</v>
      </c>
      <c r="K1297" s="21" t="s">
        <v>607</v>
      </c>
      <c r="L1297" s="5" t="s">
        <v>19</v>
      </c>
      <c r="M1297" s="5" t="s">
        <v>19</v>
      </c>
      <c r="N1297" s="5" t="str">
        <f>HYPERLINK("http://www.lghausys.co.kr/popup/rn/download/downloadPopup.jsp?from=plwindow&amp;uu=/upload/window/REPORT/LGH-TA20-333.pdf","1.064")</f>
        <v>1.064</v>
      </c>
      <c r="O1297" s="5" t="s">
        <v>19</v>
      </c>
      <c r="P1297" s="5" t="s">
        <v>19</v>
      </c>
      <c r="Q1297" s="5" t="s">
        <v>19</v>
      </c>
      <c r="R1297" s="5" t="s">
        <v>19</v>
      </c>
      <c r="S1297" s="5" t="s">
        <v>19</v>
      </c>
      <c r="T1297" s="5" t="s">
        <v>19</v>
      </c>
      <c r="U1297" s="5" t="s">
        <v>19</v>
      </c>
      <c r="V1297" s="5" t="s">
        <v>19</v>
      </c>
      <c r="W1297" s="5" t="s">
        <v>75</v>
      </c>
      <c r="X1297"/>
    </row>
    <row r="1298" spans="1:24">
      <c r="A1298" t="s">
        <v>518</v>
      </c>
      <c r="B1298" t="s">
        <v>518</v>
      </c>
      <c r="C1298" t="s">
        <v>31</v>
      </c>
      <c r="D1298" t="s">
        <v>524</v>
      </c>
      <c r="E1298" t="s">
        <v>19</v>
      </c>
      <c r="F1298" t="s">
        <v>102</v>
      </c>
      <c r="G1298" t="s">
        <v>182</v>
      </c>
      <c r="H1298" t="s">
        <v>102</v>
      </c>
      <c r="I1298" t="s">
        <v>19</v>
      </c>
      <c r="J1298" t="s">
        <v>97</v>
      </c>
      <c r="K1298" s="21" t="s">
        <v>607</v>
      </c>
      <c r="L1298" s="5" t="s">
        <v>19</v>
      </c>
      <c r="M1298" s="5" t="s">
        <v>19</v>
      </c>
      <c r="N1298" s="5" t="s">
        <v>19</v>
      </c>
      <c r="O1298" s="5" t="str">
        <f>HYPERLINK("http://www.lghausys.co.kr/popup/rn/download/downloadPopup.jsp?from=plwindow&amp;uu=/upload/window/REPORT/LGH-WA20-344.pdf","1등급")</f>
        <v>1등급</v>
      </c>
      <c r="P1298" s="5" t="s">
        <v>19</v>
      </c>
      <c r="Q1298" s="5" t="s">
        <v>19</v>
      </c>
      <c r="R1298" s="5" t="s">
        <v>19</v>
      </c>
      <c r="S1298" s="5" t="s">
        <v>19</v>
      </c>
      <c r="T1298" s="5" t="s">
        <v>19</v>
      </c>
      <c r="U1298" s="5" t="s">
        <v>19</v>
      </c>
      <c r="V1298" s="5" t="s">
        <v>19</v>
      </c>
      <c r="W1298" s="5" t="s">
        <v>152</v>
      </c>
      <c r="X1298"/>
    </row>
    <row r="1299" spans="1:24">
      <c r="A1299" t="s">
        <v>83</v>
      </c>
      <c r="B1299" t="s">
        <v>83</v>
      </c>
      <c r="C1299" t="s">
        <v>31</v>
      </c>
      <c r="D1299" t="s">
        <v>28</v>
      </c>
      <c r="E1299" t="s">
        <v>19</v>
      </c>
      <c r="F1299" t="s">
        <v>19</v>
      </c>
      <c r="G1299" t="s">
        <v>19</v>
      </c>
      <c r="H1299" t="s">
        <v>19</v>
      </c>
      <c r="I1299" t="s">
        <v>19</v>
      </c>
      <c r="J1299" t="s">
        <v>97</v>
      </c>
      <c r="K1299" s="21" t="s">
        <v>607</v>
      </c>
      <c r="L1299" s="5" t="s">
        <v>19</v>
      </c>
      <c r="M1299" s="5" t="s">
        <v>19</v>
      </c>
      <c r="N1299" s="5" t="s">
        <v>19</v>
      </c>
      <c r="O1299" s="5" t="str">
        <f>HYPERLINK("http://www.lghausys.co.kr/popup/rn/download/downloadPopup.jsp?from=plwindow&amp;uu=/upload/window/REPORT/LGH-WA20-345.pdf","2등급")</f>
        <v>2등급</v>
      </c>
      <c r="P1299" s="5" t="s">
        <v>19</v>
      </c>
      <c r="Q1299" s="5" t="s">
        <v>19</v>
      </c>
      <c r="R1299" s="5" t="s">
        <v>19</v>
      </c>
      <c r="S1299" s="5" t="s">
        <v>19</v>
      </c>
      <c r="T1299" s="5" t="s">
        <v>19</v>
      </c>
      <c r="U1299" s="5" t="s">
        <v>19</v>
      </c>
      <c r="V1299" s="5" t="s">
        <v>19</v>
      </c>
      <c r="W1299" s="5" t="s">
        <v>152</v>
      </c>
      <c r="X1299"/>
    </row>
    <row r="1300" spans="1:24">
      <c r="A1300" t="s">
        <v>456</v>
      </c>
      <c r="B1300" t="s">
        <v>456</v>
      </c>
      <c r="C1300" t="s">
        <v>31</v>
      </c>
      <c r="D1300" t="s">
        <v>158</v>
      </c>
      <c r="E1300" t="s">
        <v>19</v>
      </c>
      <c r="F1300" t="s">
        <v>25</v>
      </c>
      <c r="G1300" t="s">
        <v>182</v>
      </c>
      <c r="H1300" t="s">
        <v>25</v>
      </c>
      <c r="I1300" t="s">
        <v>19</v>
      </c>
      <c r="J1300" t="s">
        <v>74</v>
      </c>
      <c r="K1300" s="21" t="s">
        <v>607</v>
      </c>
      <c r="L1300" s="5" t="s">
        <v>19</v>
      </c>
      <c r="M1300" s="5" t="s">
        <v>19</v>
      </c>
      <c r="N1300" s="5" t="s">
        <v>19</v>
      </c>
      <c r="O1300" s="5" t="str">
        <f>HYPERLINK("http://www.lghausys.co.kr/popup/rn/download/downloadPopup.jsp?from=plwindow&amp;uu=/upload/window/REPORT/LGH-WA20-348.pdf","1등급")</f>
        <v>1등급</v>
      </c>
      <c r="P1300" s="5" t="str">
        <f>HYPERLINK("http://www.lghausys.co.kr/popup/rn/download/downloadPopup.jsp?from=plwindow&amp;uu=/upload/window/REPORT/LGH-WA20-348.pdf","50등급")</f>
        <v>50등급</v>
      </c>
      <c r="Q1300" s="5" t="str">
        <f>HYPERLINK("http://www.lghausys.co.kr/popup/rn/download/downloadPopup.jsp?from=plwindow&amp;uu=/upload/window/REPORT/LGH-WA20-348.pdf","400등급")</f>
        <v>400등급</v>
      </c>
      <c r="R1300" s="5" t="s">
        <v>19</v>
      </c>
      <c r="S1300" s="5" t="s">
        <v>19</v>
      </c>
      <c r="T1300" s="5" t="s">
        <v>19</v>
      </c>
      <c r="U1300" s="5" t="s">
        <v>19</v>
      </c>
      <c r="V1300" s="5" t="s">
        <v>19</v>
      </c>
      <c r="W1300" s="5" t="s">
        <v>152</v>
      </c>
      <c r="X1300"/>
    </row>
    <row r="1301" spans="1:24">
      <c r="A1301" t="s">
        <v>456</v>
      </c>
      <c r="B1301" t="s">
        <v>456</v>
      </c>
      <c r="C1301" t="s">
        <v>31</v>
      </c>
      <c r="D1301" t="s">
        <v>527</v>
      </c>
      <c r="E1301" t="s">
        <v>19</v>
      </c>
      <c r="F1301" t="s">
        <v>64</v>
      </c>
      <c r="G1301" t="s">
        <v>182</v>
      </c>
      <c r="H1301" t="s">
        <v>64</v>
      </c>
      <c r="I1301" t="s">
        <v>19</v>
      </c>
      <c r="J1301" t="s">
        <v>74</v>
      </c>
      <c r="K1301" s="21" t="s">
        <v>607</v>
      </c>
      <c r="L1301" s="5" t="s">
        <v>19</v>
      </c>
      <c r="M1301" s="5" t="s">
        <v>19</v>
      </c>
      <c r="N1301" s="5" t="s">
        <v>19</v>
      </c>
      <c r="O1301" s="5" t="str">
        <f>HYPERLINK("http://www.lghausys.co.kr/popup/rn/download/downloadPopup.jsp?from=plwindow&amp;uu=/upload/window/REPORT/LGH-WA20-349.pdf","1등급")</f>
        <v>1등급</v>
      </c>
      <c r="P1301" s="5" t="str">
        <f>HYPERLINK("http://www.lghausys.co.kr/popup/rn/download/downloadPopup.jsp?from=plwindow&amp;uu=/upload/window/REPORT/LGH-WA20-349.pdf","50등급")</f>
        <v>50등급</v>
      </c>
      <c r="Q1301" s="5" t="str">
        <f>HYPERLINK("http://www.lghausys.co.kr/popup/rn/download/downloadPopup.jsp?from=plwindow&amp;uu=/upload/window/REPORT/LGH-WA20-349.pdf","400등급")</f>
        <v>400등급</v>
      </c>
      <c r="R1301" s="5" t="s">
        <v>19</v>
      </c>
      <c r="S1301" s="5" t="s">
        <v>19</v>
      </c>
      <c r="T1301" s="5" t="s">
        <v>19</v>
      </c>
      <c r="U1301" s="5" t="s">
        <v>19</v>
      </c>
      <c r="V1301" s="5" t="s">
        <v>19</v>
      </c>
      <c r="W1301" s="5" t="s">
        <v>152</v>
      </c>
      <c r="X1301"/>
    </row>
    <row r="1302" spans="1:24">
      <c r="A1302" t="s">
        <v>139</v>
      </c>
      <c r="B1302" t="s">
        <v>139</v>
      </c>
      <c r="C1302" t="s">
        <v>14</v>
      </c>
      <c r="D1302" t="s">
        <v>528</v>
      </c>
      <c r="E1302" t="s">
        <v>19</v>
      </c>
      <c r="F1302" t="s">
        <v>529</v>
      </c>
      <c r="G1302" t="s">
        <v>182</v>
      </c>
      <c r="H1302" t="s">
        <v>25</v>
      </c>
      <c r="I1302" t="s">
        <v>19</v>
      </c>
      <c r="J1302" t="s">
        <v>97</v>
      </c>
      <c r="K1302" s="21" t="s">
        <v>607</v>
      </c>
      <c r="L1302" s="5" t="s">
        <v>19</v>
      </c>
      <c r="M1302" s="5" t="s">
        <v>19</v>
      </c>
      <c r="N1302" s="5" t="s">
        <v>19</v>
      </c>
      <c r="O1302" s="5" t="s">
        <v>19</v>
      </c>
      <c r="P1302" s="5" t="s">
        <v>19</v>
      </c>
      <c r="Q1302" s="5" t="s">
        <v>19</v>
      </c>
      <c r="R1302" s="5" t="s">
        <v>19</v>
      </c>
      <c r="S1302" s="5" t="s">
        <v>19</v>
      </c>
      <c r="T1302" s="5" t="str">
        <f>HYPERLINK("http://www.lghausys.co.kr/popup/rn/download/downloadPopup.jsp?from=plwindow&amp;uu=/upload/window/REPORT/LGH-DA21-001.pdf","결로발생없음")</f>
        <v>결로발생없음</v>
      </c>
      <c r="U1302" s="5" t="s">
        <v>19</v>
      </c>
      <c r="V1302" s="5" t="s">
        <v>19</v>
      </c>
      <c r="W1302" s="5" t="s">
        <v>75</v>
      </c>
      <c r="X1302"/>
    </row>
    <row r="1303" spans="1:24">
      <c r="A1303" t="s">
        <v>505</v>
      </c>
      <c r="B1303" t="s">
        <v>505</v>
      </c>
      <c r="C1303" t="s">
        <v>14</v>
      </c>
      <c r="D1303" t="s">
        <v>501</v>
      </c>
      <c r="E1303" t="s">
        <v>19</v>
      </c>
      <c r="F1303" t="s">
        <v>53</v>
      </c>
      <c r="G1303" t="s">
        <v>19</v>
      </c>
      <c r="H1303" t="s">
        <v>53</v>
      </c>
      <c r="I1303" t="s">
        <v>19</v>
      </c>
      <c r="J1303" t="s">
        <v>97</v>
      </c>
      <c r="K1303" s="21" t="s">
        <v>607</v>
      </c>
      <c r="L1303" s="5" t="s">
        <v>19</v>
      </c>
      <c r="M1303" s="5" t="s">
        <v>19</v>
      </c>
      <c r="N1303" s="5" t="s">
        <v>19</v>
      </c>
      <c r="O1303" s="5" t="s">
        <v>19</v>
      </c>
      <c r="P1303" s="5" t="s">
        <v>19</v>
      </c>
      <c r="Q1303" s="5" t="s">
        <v>19</v>
      </c>
      <c r="R1303" s="5" t="s">
        <v>19</v>
      </c>
      <c r="S1303" s="5" t="s">
        <v>19</v>
      </c>
      <c r="T1303" s="5" t="str">
        <f>HYPERLINK("http://www.lghausys.co.kr/popup/rn/download/downloadPopup.jsp?from=plwindow&amp;uu=/upload/window/REPORT/LGH-DA21-004.pdf","결로발생없음")</f>
        <v>결로발생없음</v>
      </c>
      <c r="U1303" s="5" t="s">
        <v>19</v>
      </c>
      <c r="V1303" s="5" t="s">
        <v>19</v>
      </c>
      <c r="W1303" s="5" t="s">
        <v>75</v>
      </c>
      <c r="X1303"/>
    </row>
    <row r="1304" spans="1:24">
      <c r="A1304" t="s">
        <v>149</v>
      </c>
      <c r="B1304" t="s">
        <v>149</v>
      </c>
      <c r="C1304" t="s">
        <v>14</v>
      </c>
      <c r="D1304" t="s">
        <v>25</v>
      </c>
      <c r="E1304" t="s">
        <v>19</v>
      </c>
      <c r="F1304" t="s">
        <v>19</v>
      </c>
      <c r="G1304" t="s">
        <v>19</v>
      </c>
      <c r="H1304" t="s">
        <v>28</v>
      </c>
      <c r="I1304" t="s">
        <v>19</v>
      </c>
      <c r="J1304" t="s">
        <v>97</v>
      </c>
      <c r="K1304" s="21" t="s">
        <v>607</v>
      </c>
      <c r="L1304" s="5" t="s">
        <v>19</v>
      </c>
      <c r="M1304" s="5" t="s">
        <v>19</v>
      </c>
      <c r="N1304" s="5" t="s">
        <v>19</v>
      </c>
      <c r="O1304" s="5" t="s">
        <v>19</v>
      </c>
      <c r="P1304" s="5" t="s">
        <v>19</v>
      </c>
      <c r="Q1304" s="5" t="s">
        <v>19</v>
      </c>
      <c r="R1304" s="5" t="s">
        <v>19</v>
      </c>
      <c r="S1304" s="5" t="s">
        <v>19</v>
      </c>
      <c r="T1304" s="5" t="str">
        <f>HYPERLINK("http://www.lghausys.co.kr/popup/rn/download/downloadPopup.jsp?from=plwindow&amp;uu=/upload/window/REPORT/LGH-DA21-005.pdf","결로발생없음")</f>
        <v>결로발생없음</v>
      </c>
      <c r="U1304" s="5" t="s">
        <v>19</v>
      </c>
      <c r="V1304" s="5" t="s">
        <v>19</v>
      </c>
      <c r="W1304" s="5" t="s">
        <v>75</v>
      </c>
      <c r="X1304"/>
    </row>
    <row r="1305" spans="1:24">
      <c r="A1305" t="s">
        <v>135</v>
      </c>
      <c r="B1305" t="s">
        <v>135</v>
      </c>
      <c r="C1305" t="s">
        <v>14</v>
      </c>
      <c r="D1305" t="s">
        <v>25</v>
      </c>
      <c r="E1305" t="s">
        <v>530</v>
      </c>
      <c r="F1305" t="s">
        <v>19</v>
      </c>
      <c r="G1305" t="s">
        <v>19</v>
      </c>
      <c r="H1305" t="s">
        <v>28</v>
      </c>
      <c r="I1305" t="s">
        <v>19</v>
      </c>
      <c r="J1305" t="s">
        <v>99</v>
      </c>
      <c r="K1305" s="21" t="s">
        <v>607</v>
      </c>
      <c r="L1305" s="5" t="s">
        <v>19</v>
      </c>
      <c r="M1305" s="5" t="s">
        <v>19</v>
      </c>
      <c r="N1305" s="5" t="s">
        <v>19</v>
      </c>
      <c r="O1305" s="5" t="s">
        <v>19</v>
      </c>
      <c r="P1305" s="5" t="s">
        <v>19</v>
      </c>
      <c r="Q1305" s="5" t="s">
        <v>19</v>
      </c>
      <c r="R1305" s="5" t="s">
        <v>19</v>
      </c>
      <c r="S1305" s="5" t="s">
        <v>19</v>
      </c>
      <c r="T1305" s="5" t="str">
        <f>HYPERLINK("http://www.lghausys.co.kr/popup/rn/download/downloadPopup.jsp?from=plwindow&amp;uu=/upload/window/REPORT/LGH-DA21-008.pdf","결로발생없음")</f>
        <v>결로발생없음</v>
      </c>
      <c r="U1305" s="5" t="s">
        <v>19</v>
      </c>
      <c r="V1305" s="5" t="s">
        <v>19</v>
      </c>
      <c r="W1305" s="5" t="s">
        <v>75</v>
      </c>
      <c r="X1305"/>
    </row>
    <row r="1306" spans="1:24">
      <c r="A1306" t="s">
        <v>531</v>
      </c>
      <c r="B1306" t="s">
        <v>531</v>
      </c>
      <c r="C1306" t="s">
        <v>34</v>
      </c>
      <c r="D1306" t="s">
        <v>28</v>
      </c>
      <c r="E1306" t="s">
        <v>19</v>
      </c>
      <c r="F1306" t="s">
        <v>19</v>
      </c>
      <c r="G1306" t="s">
        <v>19</v>
      </c>
      <c r="H1306" t="s">
        <v>19</v>
      </c>
      <c r="I1306" t="s">
        <v>19</v>
      </c>
      <c r="J1306" t="s">
        <v>74</v>
      </c>
      <c r="K1306" s="21" t="s">
        <v>607</v>
      </c>
      <c r="L1306" s="5" t="s">
        <v>19</v>
      </c>
      <c r="M1306" s="5" t="s">
        <v>19</v>
      </c>
      <c r="N1306" s="5" t="str">
        <f>HYPERLINK("http://www.lghausys.co.kr/popup/rn/download/downloadPopup.jsp?from=plwindow&amp;uu=/upload/window/REPORT/LGH-TA21-005.pdf","2.07")</f>
        <v>2.07</v>
      </c>
      <c r="O1306" s="5" t="s">
        <v>19</v>
      </c>
      <c r="P1306" s="5" t="s">
        <v>19</v>
      </c>
      <c r="Q1306" s="5" t="s">
        <v>19</v>
      </c>
      <c r="R1306" s="5" t="s">
        <v>19</v>
      </c>
      <c r="S1306" s="5" t="s">
        <v>19</v>
      </c>
      <c r="T1306" s="5" t="s">
        <v>19</v>
      </c>
      <c r="U1306" s="5" t="s">
        <v>19</v>
      </c>
      <c r="V1306" s="5" t="s">
        <v>19</v>
      </c>
      <c r="W1306" s="5" t="s">
        <v>75</v>
      </c>
      <c r="X1306"/>
    </row>
    <row r="1307" spans="1:24">
      <c r="A1307" t="s">
        <v>73</v>
      </c>
      <c r="B1307" t="s">
        <v>73</v>
      </c>
      <c r="C1307" t="s">
        <v>34</v>
      </c>
      <c r="D1307" t="s">
        <v>532</v>
      </c>
      <c r="E1307" t="s">
        <v>19</v>
      </c>
      <c r="F1307" t="s">
        <v>19</v>
      </c>
      <c r="G1307" t="s">
        <v>19</v>
      </c>
      <c r="H1307" t="s">
        <v>25</v>
      </c>
      <c r="I1307" t="s">
        <v>19</v>
      </c>
      <c r="J1307" t="s">
        <v>533</v>
      </c>
      <c r="K1307" s="21" t="s">
        <v>607</v>
      </c>
      <c r="L1307" s="5" t="s">
        <v>19</v>
      </c>
      <c r="M1307" s="5" t="s">
        <v>19</v>
      </c>
      <c r="N1307" s="5" t="str">
        <f>HYPERLINK("http://www.lghausys.co.kr/popup/rn/download/downloadPopup.jsp?from=plwindow&amp;uu=/upload/window/REPORT/LGH-TA21-014.pdf","1.052")</f>
        <v>1.052</v>
      </c>
      <c r="O1307" s="5" t="s">
        <v>19</v>
      </c>
      <c r="P1307" s="5" t="s">
        <v>19</v>
      </c>
      <c r="Q1307" s="5" t="s">
        <v>19</v>
      </c>
      <c r="R1307" s="5" t="s">
        <v>19</v>
      </c>
      <c r="S1307" s="5" t="s">
        <v>19</v>
      </c>
      <c r="T1307" s="5" t="s">
        <v>19</v>
      </c>
      <c r="U1307" s="5" t="s">
        <v>19</v>
      </c>
      <c r="V1307" s="5" t="s">
        <v>19</v>
      </c>
      <c r="W1307" s="5" t="s">
        <v>75</v>
      </c>
      <c r="X1307"/>
    </row>
    <row r="1308" spans="1:24">
      <c r="A1308" t="s">
        <v>534</v>
      </c>
      <c r="B1308" t="s">
        <v>534</v>
      </c>
      <c r="C1308" t="s">
        <v>20</v>
      </c>
      <c r="D1308" t="s">
        <v>25</v>
      </c>
      <c r="E1308" t="s">
        <v>19</v>
      </c>
      <c r="F1308" t="s">
        <v>19</v>
      </c>
      <c r="G1308" t="s">
        <v>19</v>
      </c>
      <c r="H1308" t="s">
        <v>19</v>
      </c>
      <c r="I1308" t="s">
        <v>19</v>
      </c>
      <c r="J1308" t="s">
        <v>74</v>
      </c>
      <c r="K1308" s="21" t="str">
        <f>IF(X1308&lt;=0.9,HYPERLINK("http://www.lxhausys.co.kr/popup/rn/download/downloadPopup.jsp?from=plwindow&amp;uu=/upload/window/REPORT/LGH-TW21-001.pdf","1등급"),IF(X1308&lt;=1.2,HYPERLINK("http://www.lxhausys.co.kr/popup/rn/download/downloadPopup.jsp?from=plwindow&amp;uu=/upload/window/REPORT/LGH-TW21-001.pdf","2등급"),IF(X1308&lt;=1.8,HYPERLINK("http://www.lxhausys.co.kr/popup/rn/download/downloadPopup.jsp?from=plwindow&amp;uu=/upload/window/REPORT/LGH-TW21-001.pdf","3등급"),IF(X1308&lt;=2.3,HYPERLINK("http://www.lxhausys.co.kr/popup/rn/download/downloadPopup.jsp?from=plwindow&amp;uu=/upload/window/REPORT/LGH-TW21-001.pdf","4등급"),IF(X1308&lt;=2.8,HYPERLINK("http://www.lxhausys.co.kr/popup/rn/download/downloadPopup.jsp?from=plwindow&amp;uu=/upload/window/REPORT/LGH-TW21-001.pdf","5등급"),HYPERLINK("http://www.lxhausys.co.kr/popup/rn/download/downloadPopup.jsp?from=plwindow&amp;uu=/upload/window/REPORT/LGH-TW21-001.pdf","등급외"))))))</f>
        <v>5등급</v>
      </c>
      <c r="L1308" s="5">
        <v>2.7250000000000001</v>
      </c>
      <c r="M1308" s="5" t="s">
        <v>535</v>
      </c>
      <c r="N1308" s="5" t="s">
        <v>607</v>
      </c>
      <c r="O1308" s="5" t="s">
        <v>19</v>
      </c>
      <c r="P1308" s="5" t="s">
        <v>19</v>
      </c>
      <c r="Q1308" s="5" t="s">
        <v>19</v>
      </c>
      <c r="R1308" s="5" t="s">
        <v>19</v>
      </c>
      <c r="S1308" s="5" t="s">
        <v>19</v>
      </c>
      <c r="T1308" s="5" t="s">
        <v>19</v>
      </c>
      <c r="U1308" s="5" t="s">
        <v>19</v>
      </c>
      <c r="V1308" s="5" t="s">
        <v>19</v>
      </c>
      <c r="W1308" s="5" t="s">
        <v>19</v>
      </c>
      <c r="X1308" s="19">
        <f t="shared" ref="X1308:X1319" si="14">L1308</f>
        <v>2.7250000000000001</v>
      </c>
    </row>
    <row r="1309" spans="1:24">
      <c r="A1309" t="s">
        <v>534</v>
      </c>
      <c r="B1309" t="s">
        <v>534</v>
      </c>
      <c r="C1309" t="s">
        <v>20</v>
      </c>
      <c r="D1309" t="s">
        <v>536</v>
      </c>
      <c r="E1309" t="s">
        <v>19</v>
      </c>
      <c r="F1309" t="s">
        <v>19</v>
      </c>
      <c r="G1309" t="s">
        <v>19</v>
      </c>
      <c r="H1309" t="s">
        <v>19</v>
      </c>
      <c r="I1309" t="s">
        <v>19</v>
      </c>
      <c r="J1309" t="s">
        <v>74</v>
      </c>
      <c r="K1309" s="21" t="str">
        <f>IF(X1309&lt;=0.9,HYPERLINK("http://www.lxhausys.co.kr/popup/rn/download/downloadPopup.jsp?from=plwindow&amp;uu=/upload/window/REPORT/LGH-TW21-002.pdf","1등급"),IF(X1309&lt;=1.2,HYPERLINK("http://www.lxhausys.co.kr/popup/rn/download/downloadPopup.jsp?from=plwindow&amp;uu=/upload/window/REPORT/LGH-TW21-002.pdf","2등급"),IF(X1309&lt;=1.8,HYPERLINK("http://www.lxhausys.co.kr/popup/rn/download/downloadPopup.jsp?from=plwindow&amp;uu=/upload/window/REPORT/LGH-TW21-002.pdf","3등급"),IF(X1309&lt;=2.3,HYPERLINK("http://www.lxhausys.co.kr/popup/rn/download/downloadPopup.jsp?from=plwindow&amp;uu=/upload/window/REPORT/LGH-TW21-002.pdf","4등급"),IF(X1309&lt;=2.8,HYPERLINK("http://www.lxhausys.co.kr/popup/rn/download/downloadPopup.jsp?from=plwindow&amp;uu=/upload/window/REPORT/LGH-TW21-002.pdf","5등급"),HYPERLINK("http://www.lxhausys.co.kr/popup/rn/download/downloadPopup.jsp?from=plwindow&amp;uu=/upload/window/REPORT/LGH-TW21-002.pdf","등급외"))))))</f>
        <v>4등급</v>
      </c>
      <c r="L1309" s="5">
        <v>2.0830000000000002</v>
      </c>
      <c r="M1309" s="5" t="s">
        <v>537</v>
      </c>
      <c r="N1309" s="5" t="s">
        <v>607</v>
      </c>
      <c r="O1309" s="5" t="s">
        <v>19</v>
      </c>
      <c r="P1309" s="5" t="s">
        <v>19</v>
      </c>
      <c r="Q1309" s="5" t="s">
        <v>19</v>
      </c>
      <c r="R1309" s="5" t="s">
        <v>19</v>
      </c>
      <c r="S1309" s="5" t="s">
        <v>19</v>
      </c>
      <c r="T1309" s="5" t="s">
        <v>19</v>
      </c>
      <c r="U1309" s="5" t="s">
        <v>19</v>
      </c>
      <c r="V1309" s="5" t="s">
        <v>19</v>
      </c>
      <c r="W1309" s="5" t="s">
        <v>19</v>
      </c>
      <c r="X1309" s="19">
        <f t="shared" si="14"/>
        <v>2.0830000000000002</v>
      </c>
    </row>
    <row r="1310" spans="1:24">
      <c r="A1310" t="s">
        <v>534</v>
      </c>
      <c r="B1310" t="s">
        <v>534</v>
      </c>
      <c r="C1310" t="s">
        <v>20</v>
      </c>
      <c r="D1310" t="s">
        <v>68</v>
      </c>
      <c r="E1310" t="s">
        <v>19</v>
      </c>
      <c r="F1310" t="s">
        <v>19</v>
      </c>
      <c r="G1310" t="s">
        <v>19</v>
      </c>
      <c r="H1310" t="s">
        <v>19</v>
      </c>
      <c r="I1310" t="s">
        <v>19</v>
      </c>
      <c r="J1310" t="s">
        <v>74</v>
      </c>
      <c r="K1310" s="21" t="str">
        <f>IF(X1310&lt;=0.9,HYPERLINK("http://www.lxhausys.co.kr/popup/rn/download/downloadPopup.jsp?from=plwindow&amp;uu=/upload/window/REPORT/LGH-TW21-003.pdf","1등급"),IF(X1310&lt;=1.2,HYPERLINK("http://www.lxhausys.co.kr/popup/rn/download/downloadPopup.jsp?from=plwindow&amp;uu=/upload/window/REPORT/LGH-TW21-003.pdf","2등급"),IF(X1310&lt;=1.8,HYPERLINK("http://www.lxhausys.co.kr/popup/rn/download/downloadPopup.jsp?from=plwindow&amp;uu=/upload/window/REPORT/LGH-TW21-003.pdf","3등급"),IF(X1310&lt;=2.3,HYPERLINK("http://www.lxhausys.co.kr/popup/rn/download/downloadPopup.jsp?from=plwindow&amp;uu=/upload/window/REPORT/LGH-TW21-003.pdf","4등급"),IF(X1310&lt;=2.8,HYPERLINK("http://www.lxhausys.co.kr/popup/rn/download/downloadPopup.jsp?from=plwindow&amp;uu=/upload/window/REPORT/LGH-TW21-003.pdf","5등급"),HYPERLINK("http://www.lxhausys.co.kr/popup/rn/download/downloadPopup.jsp?from=plwindow&amp;uu=/upload/window/REPORT/LGH-TW21-003.pdf","등급외"))))))</f>
        <v>5등급</v>
      </c>
      <c r="L1310" s="5">
        <v>2.71</v>
      </c>
      <c r="M1310" s="5" t="s">
        <v>538</v>
      </c>
      <c r="N1310" s="5" t="s">
        <v>607</v>
      </c>
      <c r="O1310" s="5" t="s">
        <v>19</v>
      </c>
      <c r="P1310" s="5" t="s">
        <v>19</v>
      </c>
      <c r="Q1310" s="5" t="s">
        <v>19</v>
      </c>
      <c r="R1310" s="5" t="s">
        <v>19</v>
      </c>
      <c r="S1310" s="5" t="s">
        <v>19</v>
      </c>
      <c r="T1310" s="5" t="s">
        <v>19</v>
      </c>
      <c r="U1310" s="5" t="s">
        <v>19</v>
      </c>
      <c r="V1310" s="5" t="s">
        <v>19</v>
      </c>
      <c r="W1310" s="5" t="s">
        <v>19</v>
      </c>
      <c r="X1310" s="19">
        <f t="shared" si="14"/>
        <v>2.71</v>
      </c>
    </row>
    <row r="1311" spans="1:24">
      <c r="A1311" t="s">
        <v>534</v>
      </c>
      <c r="B1311" t="s">
        <v>534</v>
      </c>
      <c r="C1311" t="s">
        <v>20</v>
      </c>
      <c r="D1311" t="s">
        <v>539</v>
      </c>
      <c r="E1311" t="s">
        <v>19</v>
      </c>
      <c r="F1311" t="s">
        <v>19</v>
      </c>
      <c r="G1311" t="s">
        <v>19</v>
      </c>
      <c r="H1311" t="s">
        <v>19</v>
      </c>
      <c r="I1311" t="s">
        <v>19</v>
      </c>
      <c r="J1311" t="s">
        <v>74</v>
      </c>
      <c r="K1311" s="21" t="str">
        <f>IF(X1311&lt;=0.9,HYPERLINK("http://www.lxhausys.co.kr/popup/rn/download/downloadPopup.jsp?from=plwindow&amp;uu=/upload/window/REPORT/LGH-TW21-004.pdf","1등급"),IF(X1311&lt;=1.2,HYPERLINK("http://www.lxhausys.co.kr/popup/rn/download/downloadPopup.jsp?from=plwindow&amp;uu=/upload/window/REPORT/LGH-TW21-004.pdf","2등급"),IF(X1311&lt;=1.8,HYPERLINK("http://www.lxhausys.co.kr/popup/rn/download/downloadPopup.jsp?from=plwindow&amp;uu=/upload/window/REPORT/LGH-TW21-004.pdf","3등급"),IF(X1311&lt;=2.3,HYPERLINK("http://www.lxhausys.co.kr/popup/rn/download/downloadPopup.jsp?from=plwindow&amp;uu=/upload/window/REPORT/LGH-TW21-004.pdf","4등급"),IF(X1311&lt;=2.8,HYPERLINK("http://www.lxhausys.co.kr/popup/rn/download/downloadPopup.jsp?from=plwindow&amp;uu=/upload/window/REPORT/LGH-TW21-004.pdf","5등급"),HYPERLINK("http://www.lxhausys.co.kr/popup/rn/download/downloadPopup.jsp?from=plwindow&amp;uu=/upload/window/REPORT/LGH-TW21-004.pdf","등급외"))))))</f>
        <v>4등급</v>
      </c>
      <c r="L1311" s="5">
        <v>1.992</v>
      </c>
      <c r="M1311" s="5" t="s">
        <v>540</v>
      </c>
      <c r="N1311" s="5" t="s">
        <v>607</v>
      </c>
      <c r="O1311" s="5" t="s">
        <v>19</v>
      </c>
      <c r="P1311" s="5" t="s">
        <v>19</v>
      </c>
      <c r="Q1311" s="5" t="s">
        <v>19</v>
      </c>
      <c r="R1311" s="5" t="s">
        <v>19</v>
      </c>
      <c r="S1311" s="5" t="s">
        <v>19</v>
      </c>
      <c r="T1311" s="5" t="s">
        <v>19</v>
      </c>
      <c r="U1311" s="5" t="s">
        <v>19</v>
      </c>
      <c r="V1311" s="5" t="s">
        <v>19</v>
      </c>
      <c r="W1311" s="5" t="s">
        <v>19</v>
      </c>
      <c r="X1311" s="19">
        <f t="shared" si="14"/>
        <v>1.992</v>
      </c>
    </row>
    <row r="1312" spans="1:24">
      <c r="A1312" t="s">
        <v>456</v>
      </c>
      <c r="B1312" t="s">
        <v>456</v>
      </c>
      <c r="C1312" t="s">
        <v>20</v>
      </c>
      <c r="D1312" t="s">
        <v>158</v>
      </c>
      <c r="E1312" t="s">
        <v>19</v>
      </c>
      <c r="F1312" t="s">
        <v>25</v>
      </c>
      <c r="G1312" t="s">
        <v>182</v>
      </c>
      <c r="H1312" t="s">
        <v>25</v>
      </c>
      <c r="I1312" t="s">
        <v>19</v>
      </c>
      <c r="J1312" t="s">
        <v>74</v>
      </c>
      <c r="K1312" s="21" t="str">
        <f>IF(X1312&lt;=0.9,HYPERLINK("http://www.lxhausys.co.kr/popup/rn/download/downloadPopup.jsp?from=plwindow&amp;uu=/upload/window/REPORT/LGH-TW21-009.pdf","1등급"),IF(X1312&lt;=1.2,HYPERLINK("http://www.lxhausys.co.kr/popup/rn/download/downloadPopup.jsp?from=plwindow&amp;uu=/upload/window/REPORT/LGH-TW21-009.pdf","2등급"),IF(X1312&lt;=1.8,HYPERLINK("http://www.lxhausys.co.kr/popup/rn/download/downloadPopup.jsp?from=plwindow&amp;uu=/upload/window/REPORT/LGH-TW21-009.pdf","3등급"),IF(X1312&lt;=2.3,HYPERLINK("http://www.lxhausys.co.kr/popup/rn/download/downloadPopup.jsp?from=plwindow&amp;uu=/upload/window/REPORT/LGH-TW21-009.pdf","4등급"),IF(X1312&lt;=2.8,HYPERLINK("http://www.lxhausys.co.kr/popup/rn/download/downloadPopup.jsp?from=plwindow&amp;uu=/upload/window/REPORT/LGH-TW21-009.pdf","5등급"),HYPERLINK("http://www.lxhausys.co.kr/popup/rn/download/downloadPopup.jsp?from=plwindow&amp;uu=/upload/window/REPORT/LGH-TW21-009.pdf","등급외"))))))</f>
        <v>3등급</v>
      </c>
      <c r="L1312" s="5">
        <v>1.2110000000000001</v>
      </c>
      <c r="M1312" s="5" t="s">
        <v>541</v>
      </c>
      <c r="N1312" s="5" t="s">
        <v>607</v>
      </c>
      <c r="O1312" s="5" t="s">
        <v>19</v>
      </c>
      <c r="P1312" s="5" t="s">
        <v>19</v>
      </c>
      <c r="Q1312" s="5" t="s">
        <v>19</v>
      </c>
      <c r="R1312" s="5" t="s">
        <v>19</v>
      </c>
      <c r="S1312" s="5" t="s">
        <v>19</v>
      </c>
      <c r="T1312" s="5" t="s">
        <v>19</v>
      </c>
      <c r="U1312" s="5" t="s">
        <v>19</v>
      </c>
      <c r="V1312" s="5" t="s">
        <v>19</v>
      </c>
      <c r="W1312" s="5" t="s">
        <v>19</v>
      </c>
      <c r="X1312" s="19">
        <f t="shared" si="14"/>
        <v>1.2110000000000001</v>
      </c>
    </row>
    <row r="1313" spans="1:24">
      <c r="A1313" t="s">
        <v>456</v>
      </c>
      <c r="B1313" t="s">
        <v>456</v>
      </c>
      <c r="C1313" t="s">
        <v>20</v>
      </c>
      <c r="D1313" t="s">
        <v>272</v>
      </c>
      <c r="E1313" t="s">
        <v>19</v>
      </c>
      <c r="F1313" t="s">
        <v>241</v>
      </c>
      <c r="G1313" t="s">
        <v>182</v>
      </c>
      <c r="H1313" t="s">
        <v>241</v>
      </c>
      <c r="I1313" t="s">
        <v>19</v>
      </c>
      <c r="J1313" t="s">
        <v>74</v>
      </c>
      <c r="K1313" s="21" t="str">
        <f>IF(X1313&lt;=0.9,HYPERLINK("http://www.lxhausys.co.kr/popup/rn/download/downloadPopup.jsp?from=plwindow&amp;uu=/upload/window/REPORT/LGH-TW21-010.pdf","1등급"),IF(X1313&lt;=1.2,HYPERLINK("http://www.lxhausys.co.kr/popup/rn/download/downloadPopup.jsp?from=plwindow&amp;uu=/upload/window/REPORT/LGH-TW21-010.pdf","2등급"),IF(X1313&lt;=1.8,HYPERLINK("http://www.lxhausys.co.kr/popup/rn/download/downloadPopup.jsp?from=plwindow&amp;uu=/upload/window/REPORT/LGH-TW21-010.pdf","3등급"),IF(X1313&lt;=2.3,HYPERLINK("http://www.lxhausys.co.kr/popup/rn/download/downloadPopup.jsp?from=plwindow&amp;uu=/upload/window/REPORT/LGH-TW21-010.pdf","4등급"),IF(X1313&lt;=2.8,HYPERLINK("http://www.lxhausys.co.kr/popup/rn/download/downloadPopup.jsp?from=plwindow&amp;uu=/upload/window/REPORT/LGH-TW21-010.pdf","5등급"),HYPERLINK("http://www.lxhausys.co.kr/popup/rn/download/downloadPopup.jsp?from=plwindow&amp;uu=/upload/window/REPORT/LGH-TW21-010.pdf","등급외"))))))</f>
        <v>1등급</v>
      </c>
      <c r="L1313" s="5">
        <v>0.872</v>
      </c>
      <c r="M1313" s="5" t="s">
        <v>542</v>
      </c>
      <c r="N1313" s="5" t="s">
        <v>607</v>
      </c>
      <c r="O1313" s="5" t="s">
        <v>19</v>
      </c>
      <c r="P1313" s="5" t="s">
        <v>19</v>
      </c>
      <c r="Q1313" s="5" t="s">
        <v>19</v>
      </c>
      <c r="R1313" s="5" t="s">
        <v>19</v>
      </c>
      <c r="S1313" s="5" t="s">
        <v>19</v>
      </c>
      <c r="T1313" s="5" t="s">
        <v>19</v>
      </c>
      <c r="U1313" s="5" t="s">
        <v>19</v>
      </c>
      <c r="V1313" s="5" t="s">
        <v>19</v>
      </c>
      <c r="W1313" s="5" t="s">
        <v>19</v>
      </c>
      <c r="X1313" s="19">
        <f t="shared" si="14"/>
        <v>0.872</v>
      </c>
    </row>
    <row r="1314" spans="1:24">
      <c r="A1314" t="s">
        <v>510</v>
      </c>
      <c r="B1314" t="s">
        <v>510</v>
      </c>
      <c r="C1314" t="s">
        <v>20</v>
      </c>
      <c r="D1314" t="s">
        <v>68</v>
      </c>
      <c r="E1314" t="s">
        <v>19</v>
      </c>
      <c r="F1314" t="s">
        <v>19</v>
      </c>
      <c r="G1314" t="s">
        <v>19</v>
      </c>
      <c r="H1314" t="s">
        <v>19</v>
      </c>
      <c r="I1314" t="s">
        <v>19</v>
      </c>
      <c r="J1314" t="s">
        <v>97</v>
      </c>
      <c r="K1314" s="21" t="str">
        <f>IF(X1314&lt;=0.9,HYPERLINK("http://www.lxhausys.co.kr/popup/rn/download/downloadPopup.jsp?from=plwindow&amp;uu=/upload/window/REPORT/LGH-TW21-011.pdf","1등급"),IF(X1314&lt;=1.2,HYPERLINK("http://www.lxhausys.co.kr/popup/rn/download/downloadPopup.jsp?from=plwindow&amp;uu=/upload/window/REPORT/LGH-TW21-011.pdf","2등급"),IF(X1314&lt;=1.8,HYPERLINK("http://www.lxhausys.co.kr/popup/rn/download/downloadPopup.jsp?from=plwindow&amp;uu=/upload/window/REPORT/LGH-TW21-011.pdf","3등급"),IF(X1314&lt;=2.3,HYPERLINK("http://www.lxhausys.co.kr/popup/rn/download/downloadPopup.jsp?from=plwindow&amp;uu=/upload/window/REPORT/LGH-TW21-011.pdf","4등급"),IF(X1314&lt;=2.8,HYPERLINK("http://www.lxhausys.co.kr/popup/rn/download/downloadPopup.jsp?from=plwindow&amp;uu=/upload/window/REPORT/LGH-TW21-011.pdf","5등급"),HYPERLINK("http://www.lxhausys.co.kr/popup/rn/download/downloadPopup.jsp?from=plwindow&amp;uu=/upload/window/REPORT/LGH-TW21-011.pdf","등급외"))))))</f>
        <v>5등급</v>
      </c>
      <c r="L1314" s="5">
        <v>2.6669999999999998</v>
      </c>
      <c r="M1314" s="5" t="s">
        <v>543</v>
      </c>
      <c r="N1314" s="5" t="s">
        <v>607</v>
      </c>
      <c r="O1314" s="5" t="s">
        <v>19</v>
      </c>
      <c r="P1314" s="5" t="s">
        <v>19</v>
      </c>
      <c r="Q1314" s="5" t="s">
        <v>19</v>
      </c>
      <c r="R1314" s="5" t="s">
        <v>19</v>
      </c>
      <c r="S1314" s="5" t="s">
        <v>19</v>
      </c>
      <c r="T1314" s="5" t="s">
        <v>19</v>
      </c>
      <c r="U1314" s="5" t="s">
        <v>19</v>
      </c>
      <c r="V1314" s="5" t="s">
        <v>19</v>
      </c>
      <c r="W1314" s="5" t="s">
        <v>19</v>
      </c>
      <c r="X1314" s="19">
        <f t="shared" si="14"/>
        <v>2.6669999999999998</v>
      </c>
    </row>
    <row r="1315" spans="1:24">
      <c r="A1315" t="s">
        <v>510</v>
      </c>
      <c r="B1315" t="s">
        <v>510</v>
      </c>
      <c r="C1315" t="s">
        <v>20</v>
      </c>
      <c r="D1315" t="s">
        <v>235</v>
      </c>
      <c r="E1315" t="s">
        <v>19</v>
      </c>
      <c r="F1315" t="s">
        <v>19</v>
      </c>
      <c r="G1315" t="s">
        <v>19</v>
      </c>
      <c r="H1315" t="s">
        <v>19</v>
      </c>
      <c r="I1315" t="s">
        <v>19</v>
      </c>
      <c r="J1315" t="s">
        <v>97</v>
      </c>
      <c r="K1315" s="21" t="str">
        <f>IF(X1315&lt;=0.9,HYPERLINK("http://www.lxhausys.co.kr/popup/rn/download/downloadPopup.jsp?from=plwindow&amp;uu=/upload/window/REPORT/LGH-TW21-012.pdf","1등급"),IF(X1315&lt;=1.2,HYPERLINK("http://www.lxhausys.co.kr/popup/rn/download/downloadPopup.jsp?from=plwindow&amp;uu=/upload/window/REPORT/LGH-TW21-012.pdf","2등급"),IF(X1315&lt;=1.8,HYPERLINK("http://www.lxhausys.co.kr/popup/rn/download/downloadPopup.jsp?from=plwindow&amp;uu=/upload/window/REPORT/LGH-TW21-012.pdf","3등급"),IF(X1315&lt;=2.3,HYPERLINK("http://www.lxhausys.co.kr/popup/rn/download/downloadPopup.jsp?from=plwindow&amp;uu=/upload/window/REPORT/LGH-TW21-012.pdf","4등급"),IF(X1315&lt;=2.8,HYPERLINK("http://www.lxhausys.co.kr/popup/rn/download/downloadPopup.jsp?from=plwindow&amp;uu=/upload/window/REPORT/LGH-TW21-012.pdf","5등급"),HYPERLINK("http://www.lxhausys.co.kr/popup/rn/download/downloadPopup.jsp?from=plwindow&amp;uu=/upload/window/REPORT/LGH-TW21-012.pdf","등급외"))))))</f>
        <v>4등급</v>
      </c>
      <c r="L1315" s="5">
        <v>1.8280000000000001</v>
      </c>
      <c r="M1315" s="5" t="s">
        <v>544</v>
      </c>
      <c r="N1315" s="5" t="s">
        <v>607</v>
      </c>
      <c r="O1315" s="5" t="s">
        <v>19</v>
      </c>
      <c r="P1315" s="5" t="s">
        <v>19</v>
      </c>
      <c r="Q1315" s="5" t="s">
        <v>19</v>
      </c>
      <c r="R1315" s="5" t="s">
        <v>19</v>
      </c>
      <c r="S1315" s="5" t="s">
        <v>19</v>
      </c>
      <c r="T1315" s="5" t="s">
        <v>19</v>
      </c>
      <c r="U1315" s="5" t="s">
        <v>19</v>
      </c>
      <c r="V1315" s="5" t="s">
        <v>19</v>
      </c>
      <c r="W1315" s="5" t="s">
        <v>19</v>
      </c>
      <c r="X1315" s="19">
        <f t="shared" si="14"/>
        <v>1.8280000000000001</v>
      </c>
    </row>
    <row r="1316" spans="1:24">
      <c r="A1316" t="s">
        <v>510</v>
      </c>
      <c r="B1316" t="s">
        <v>510</v>
      </c>
      <c r="C1316" t="s">
        <v>20</v>
      </c>
      <c r="D1316" t="s">
        <v>545</v>
      </c>
      <c r="E1316" t="s">
        <v>19</v>
      </c>
      <c r="F1316" t="s">
        <v>19</v>
      </c>
      <c r="G1316" t="s">
        <v>19</v>
      </c>
      <c r="H1316" t="s">
        <v>19</v>
      </c>
      <c r="I1316" t="s">
        <v>19</v>
      </c>
      <c r="J1316" t="s">
        <v>97</v>
      </c>
      <c r="K1316" s="21" t="str">
        <f>IF(X1316&lt;=0.9,HYPERLINK("http://www.lxhausys.co.kr/popup/rn/download/downloadPopup.jsp?from=plwindow&amp;uu=/upload/window/REPORT/LGH-TW21-013.pdf","1등급"),IF(X1316&lt;=1.2,HYPERLINK("http://www.lxhausys.co.kr/popup/rn/download/downloadPopup.jsp?from=plwindow&amp;uu=/upload/window/REPORT/LGH-TW21-013.pdf","2등급"),IF(X1316&lt;=1.8,HYPERLINK("http://www.lxhausys.co.kr/popup/rn/download/downloadPopup.jsp?from=plwindow&amp;uu=/upload/window/REPORT/LGH-TW21-013.pdf","3등급"),IF(X1316&lt;=2.3,HYPERLINK("http://www.lxhausys.co.kr/popup/rn/download/downloadPopup.jsp?from=plwindow&amp;uu=/upload/window/REPORT/LGH-TW21-013.pdf","4등급"),IF(X1316&lt;=2.8,HYPERLINK("http://www.lxhausys.co.kr/popup/rn/download/downloadPopup.jsp?from=plwindow&amp;uu=/upload/window/REPORT/LGH-TW21-013.pdf","5등급"),HYPERLINK("http://www.lxhausys.co.kr/popup/rn/download/downloadPopup.jsp?from=plwindow&amp;uu=/upload/window/REPORT/LGH-TW21-013.pdf","등급외"))))))</f>
        <v>5등급</v>
      </c>
      <c r="L1316" s="5">
        <v>2.6320000000000001</v>
      </c>
      <c r="M1316" s="5" t="s">
        <v>546</v>
      </c>
      <c r="N1316" s="5" t="s">
        <v>607</v>
      </c>
      <c r="O1316" s="5" t="s">
        <v>19</v>
      </c>
      <c r="P1316" s="5" t="s">
        <v>19</v>
      </c>
      <c r="Q1316" s="5" t="s">
        <v>19</v>
      </c>
      <c r="R1316" s="5" t="s">
        <v>19</v>
      </c>
      <c r="S1316" s="5" t="s">
        <v>19</v>
      </c>
      <c r="T1316" s="5" t="s">
        <v>19</v>
      </c>
      <c r="U1316" s="5" t="s">
        <v>19</v>
      </c>
      <c r="V1316" s="5" t="s">
        <v>19</v>
      </c>
      <c r="W1316" s="5" t="s">
        <v>19</v>
      </c>
      <c r="X1316" s="19">
        <f t="shared" si="14"/>
        <v>2.6320000000000001</v>
      </c>
    </row>
    <row r="1317" spans="1:24">
      <c r="A1317" t="s">
        <v>513</v>
      </c>
      <c r="B1317" t="s">
        <v>513</v>
      </c>
      <c r="C1317" t="s">
        <v>20</v>
      </c>
      <c r="D1317" t="s">
        <v>68</v>
      </c>
      <c r="E1317" t="s">
        <v>19</v>
      </c>
      <c r="F1317" t="s">
        <v>19</v>
      </c>
      <c r="G1317" t="s">
        <v>19</v>
      </c>
      <c r="H1317" t="s">
        <v>235</v>
      </c>
      <c r="I1317" t="s">
        <v>19</v>
      </c>
      <c r="J1317" t="s">
        <v>97</v>
      </c>
      <c r="K1317" s="21" t="str">
        <f>IF(X1317&lt;=0.9,HYPERLINK("http://www.lxhausys.co.kr/popup/rn/download/downloadPopup.jsp?from=plwindow&amp;uu=/upload/window/REPORT/LGH-TW21-014.pdf","1등급"),IF(X1317&lt;=1.2,HYPERLINK("http://www.lxhausys.co.kr/popup/rn/download/downloadPopup.jsp?from=plwindow&amp;uu=/upload/window/REPORT/LGH-TW21-014.pdf","2등급"),IF(X1317&lt;=1.8,HYPERLINK("http://www.lxhausys.co.kr/popup/rn/download/downloadPopup.jsp?from=plwindow&amp;uu=/upload/window/REPORT/LGH-TW21-014.pdf","3등급"),IF(X1317&lt;=2.3,HYPERLINK("http://www.lxhausys.co.kr/popup/rn/download/downloadPopup.jsp?from=plwindow&amp;uu=/upload/window/REPORT/LGH-TW21-014.pdf","4등급"),IF(X1317&lt;=2.8,HYPERLINK("http://www.lxhausys.co.kr/popup/rn/download/downloadPopup.jsp?from=plwindow&amp;uu=/upload/window/REPORT/LGH-TW21-014.pdf","5등급"),HYPERLINK("http://www.lxhausys.co.kr/popup/rn/download/downloadPopup.jsp?from=plwindow&amp;uu=/upload/window/REPORT/LGH-TW21-014.pdf","등급외"))))))</f>
        <v>1등급</v>
      </c>
      <c r="L1317" s="5">
        <v>0.87</v>
      </c>
      <c r="M1317" s="5" t="s">
        <v>491</v>
      </c>
      <c r="N1317" s="5" t="s">
        <v>607</v>
      </c>
      <c r="O1317" s="5" t="s">
        <v>19</v>
      </c>
      <c r="P1317" s="5" t="s">
        <v>19</v>
      </c>
      <c r="Q1317" s="5" t="s">
        <v>19</v>
      </c>
      <c r="R1317" s="5" t="s">
        <v>19</v>
      </c>
      <c r="S1317" s="5" t="s">
        <v>19</v>
      </c>
      <c r="T1317" s="5" t="s">
        <v>19</v>
      </c>
      <c r="U1317" s="5" t="s">
        <v>19</v>
      </c>
      <c r="V1317" s="5" t="s">
        <v>19</v>
      </c>
      <c r="W1317" s="5" t="s">
        <v>19</v>
      </c>
      <c r="X1317" s="19">
        <f t="shared" si="14"/>
        <v>0.87</v>
      </c>
    </row>
    <row r="1318" spans="1:24">
      <c r="A1318" t="s">
        <v>513</v>
      </c>
      <c r="B1318" t="s">
        <v>513</v>
      </c>
      <c r="C1318" t="s">
        <v>20</v>
      </c>
      <c r="D1318" t="s">
        <v>235</v>
      </c>
      <c r="E1318" t="s">
        <v>19</v>
      </c>
      <c r="F1318" t="s">
        <v>19</v>
      </c>
      <c r="G1318" t="s">
        <v>19</v>
      </c>
      <c r="H1318" t="s">
        <v>68</v>
      </c>
      <c r="I1318" t="s">
        <v>19</v>
      </c>
      <c r="J1318" t="s">
        <v>97</v>
      </c>
      <c r="K1318" s="21" t="str">
        <f>IF(X1318&lt;=0.9,HYPERLINK("http://www.lxhausys.co.kr/popup/rn/download/downloadPopup.jsp?from=plwindow&amp;uu=/upload/window/REPORT/LGH-TW21-015.pdf","1등급"),IF(X1318&lt;=1.2,HYPERLINK("http://www.lxhausys.co.kr/popup/rn/download/downloadPopup.jsp?from=plwindow&amp;uu=/upload/window/REPORT/LGH-TW21-015.pdf","2등급"),IF(X1318&lt;=1.8,HYPERLINK("http://www.lxhausys.co.kr/popup/rn/download/downloadPopup.jsp?from=plwindow&amp;uu=/upload/window/REPORT/LGH-TW21-015.pdf","3등급"),IF(X1318&lt;=2.3,HYPERLINK("http://www.lxhausys.co.kr/popup/rn/download/downloadPopup.jsp?from=plwindow&amp;uu=/upload/window/REPORT/LGH-TW21-015.pdf","4등급"),IF(X1318&lt;=2.8,HYPERLINK("http://www.lxhausys.co.kr/popup/rn/download/downloadPopup.jsp?from=plwindow&amp;uu=/upload/window/REPORT/LGH-TW21-015.pdf","5등급"),HYPERLINK("http://www.lxhausys.co.kr/popup/rn/download/downloadPopup.jsp?from=plwindow&amp;uu=/upload/window/REPORT/LGH-TW21-015.pdf","등급외"))))))</f>
        <v>2등급</v>
      </c>
      <c r="L1318" s="5">
        <v>0.90700000000000003</v>
      </c>
      <c r="M1318" s="5" t="s">
        <v>547</v>
      </c>
      <c r="N1318" s="5" t="s">
        <v>607</v>
      </c>
      <c r="O1318" s="5" t="s">
        <v>19</v>
      </c>
      <c r="P1318" s="5" t="s">
        <v>19</v>
      </c>
      <c r="Q1318" s="5" t="s">
        <v>19</v>
      </c>
      <c r="R1318" s="5" t="s">
        <v>19</v>
      </c>
      <c r="S1318" s="5" t="s">
        <v>19</v>
      </c>
      <c r="T1318" s="5" t="s">
        <v>19</v>
      </c>
      <c r="U1318" s="5" t="s">
        <v>19</v>
      </c>
      <c r="V1318" s="5" t="s">
        <v>19</v>
      </c>
      <c r="W1318" s="5" t="s">
        <v>19</v>
      </c>
      <c r="X1318" s="19">
        <f t="shared" si="14"/>
        <v>0.90700000000000003</v>
      </c>
    </row>
    <row r="1319" spans="1:24">
      <c r="A1319" t="s">
        <v>513</v>
      </c>
      <c r="B1319" t="s">
        <v>513</v>
      </c>
      <c r="C1319" t="s">
        <v>20</v>
      </c>
      <c r="D1319" t="s">
        <v>235</v>
      </c>
      <c r="E1319" t="s">
        <v>19</v>
      </c>
      <c r="F1319" t="s">
        <v>19</v>
      </c>
      <c r="G1319" t="s">
        <v>19</v>
      </c>
      <c r="H1319" t="s">
        <v>235</v>
      </c>
      <c r="I1319" t="s">
        <v>19</v>
      </c>
      <c r="J1319" t="s">
        <v>97</v>
      </c>
      <c r="K1319" s="21" t="str">
        <f>IF(X1319&lt;=0.9,HYPERLINK("http://www.lxhausys.co.kr/popup/rn/download/downloadPopup.jsp?from=plwindow&amp;uu=/upload/window/REPORT/LGH-TW21-016.pdf","1등급"),IF(X1319&lt;=1.2,HYPERLINK("http://www.lxhausys.co.kr/popup/rn/download/downloadPopup.jsp?from=plwindow&amp;uu=/upload/window/REPORT/LGH-TW21-016.pdf","2등급"),IF(X1319&lt;=1.8,HYPERLINK("http://www.lxhausys.co.kr/popup/rn/download/downloadPopup.jsp?from=plwindow&amp;uu=/upload/window/REPORT/LGH-TW21-016.pdf","3등급"),IF(X1319&lt;=2.3,HYPERLINK("http://www.lxhausys.co.kr/popup/rn/download/downloadPopup.jsp?from=plwindow&amp;uu=/upload/window/REPORT/LGH-TW21-016.pdf","4등급"),IF(X1319&lt;=2.8,HYPERLINK("http://www.lxhausys.co.kr/popup/rn/download/downloadPopup.jsp?from=plwindow&amp;uu=/upload/window/REPORT/LGH-TW21-016.pdf","5등급"),HYPERLINK("http://www.lxhausys.co.kr/popup/rn/download/downloadPopup.jsp?from=plwindow&amp;uu=/upload/window/REPORT/LGH-TW21-016.pdf","등급외"))))))</f>
        <v>1등급</v>
      </c>
      <c r="L1319" s="5">
        <v>0.71599999999999997</v>
      </c>
      <c r="M1319" s="5" t="s">
        <v>491</v>
      </c>
      <c r="N1319" s="5" t="s">
        <v>607</v>
      </c>
      <c r="O1319" s="5" t="s">
        <v>19</v>
      </c>
      <c r="P1319" s="5" t="s">
        <v>19</v>
      </c>
      <c r="Q1319" s="5" t="s">
        <v>19</v>
      </c>
      <c r="R1319" s="5" t="s">
        <v>19</v>
      </c>
      <c r="S1319" s="5" t="s">
        <v>19</v>
      </c>
      <c r="T1319" s="5" t="s">
        <v>19</v>
      </c>
      <c r="U1319" s="5" t="s">
        <v>19</v>
      </c>
      <c r="V1319" s="5" t="s">
        <v>19</v>
      </c>
      <c r="W1319" s="5" t="s">
        <v>19</v>
      </c>
      <c r="X1319" s="19">
        <f t="shared" si="14"/>
        <v>0.71599999999999997</v>
      </c>
    </row>
    <row r="1320" spans="1:24">
      <c r="A1320" t="s">
        <v>90</v>
      </c>
      <c r="B1320" t="s">
        <v>90</v>
      </c>
      <c r="C1320" t="s">
        <v>31</v>
      </c>
      <c r="D1320" t="s">
        <v>41</v>
      </c>
      <c r="E1320" t="s">
        <v>19</v>
      </c>
      <c r="F1320" t="s">
        <v>19</v>
      </c>
      <c r="G1320" t="s">
        <v>19</v>
      </c>
      <c r="H1320" t="s">
        <v>41</v>
      </c>
      <c r="I1320" t="s">
        <v>19</v>
      </c>
      <c r="J1320" t="s">
        <v>97</v>
      </c>
      <c r="K1320" s="21" t="s">
        <v>607</v>
      </c>
      <c r="L1320" s="5" t="s">
        <v>19</v>
      </c>
      <c r="M1320" s="5" t="s">
        <v>19</v>
      </c>
      <c r="N1320" s="5" t="s">
        <v>19</v>
      </c>
      <c r="O1320" s="5" t="str">
        <f>HYPERLINK("http://www.lghausys.co.kr/popup/rn/download/downloadPopup.jsp?from=plwindow&amp;uu=/upload/window/REPORT/LGH-WA21-004.pdf","1등급")</f>
        <v>1등급</v>
      </c>
      <c r="P1320" s="5" t="s">
        <v>19</v>
      </c>
      <c r="Q1320" s="5" t="s">
        <v>19</v>
      </c>
      <c r="R1320" s="5" t="s">
        <v>19</v>
      </c>
      <c r="S1320" s="5" t="s">
        <v>19</v>
      </c>
      <c r="T1320" s="5" t="s">
        <v>19</v>
      </c>
      <c r="U1320" s="5" t="s">
        <v>19</v>
      </c>
      <c r="V1320" s="5" t="s">
        <v>19</v>
      </c>
      <c r="W1320" s="5" t="s">
        <v>152</v>
      </c>
      <c r="X1320"/>
    </row>
    <row r="1321" spans="1:24">
      <c r="A1321" t="s">
        <v>499</v>
      </c>
      <c r="B1321" t="s">
        <v>499</v>
      </c>
      <c r="C1321" t="s">
        <v>31</v>
      </c>
      <c r="D1321" t="s">
        <v>56</v>
      </c>
      <c r="E1321" t="s">
        <v>19</v>
      </c>
      <c r="F1321" t="s">
        <v>19</v>
      </c>
      <c r="G1321" t="s">
        <v>19</v>
      </c>
      <c r="H1321" t="s">
        <v>19</v>
      </c>
      <c r="I1321" t="s">
        <v>19</v>
      </c>
      <c r="J1321" t="s">
        <v>97</v>
      </c>
      <c r="K1321" s="21" t="s">
        <v>607</v>
      </c>
      <c r="L1321" s="5" t="s">
        <v>19</v>
      </c>
      <c r="M1321" s="5" t="s">
        <v>19</v>
      </c>
      <c r="N1321" s="5" t="s">
        <v>19</v>
      </c>
      <c r="O1321" s="5" t="str">
        <f>HYPERLINK("http://www.lghausys.co.kr/popup/rn/download/downloadPopup.jsp?from=plwindow&amp;uu=/upload/window/REPORT/LGH-WA21-005.pdf","1등급")</f>
        <v>1등급</v>
      </c>
      <c r="P1321" s="5" t="s">
        <v>19</v>
      </c>
      <c r="Q1321" s="5" t="s">
        <v>19</v>
      </c>
      <c r="R1321" s="5" t="s">
        <v>19</v>
      </c>
      <c r="S1321" s="5" t="s">
        <v>19</v>
      </c>
      <c r="T1321" s="5" t="s">
        <v>19</v>
      </c>
      <c r="U1321" s="5" t="s">
        <v>19</v>
      </c>
      <c r="V1321" s="5" t="s">
        <v>19</v>
      </c>
      <c r="W1321" s="5" t="s">
        <v>152</v>
      </c>
      <c r="X1321"/>
    </row>
    <row r="1322" spans="1:24">
      <c r="A1322" t="s">
        <v>499</v>
      </c>
      <c r="B1322" t="s">
        <v>499</v>
      </c>
      <c r="C1322" t="s">
        <v>31</v>
      </c>
      <c r="D1322" t="s">
        <v>548</v>
      </c>
      <c r="E1322" t="s">
        <v>19</v>
      </c>
      <c r="F1322" t="s">
        <v>19</v>
      </c>
      <c r="G1322" t="s">
        <v>19</v>
      </c>
      <c r="H1322" t="s">
        <v>19</v>
      </c>
      <c r="I1322" t="s">
        <v>19</v>
      </c>
      <c r="J1322" t="s">
        <v>97</v>
      </c>
      <c r="K1322" s="21" t="s">
        <v>607</v>
      </c>
      <c r="L1322" s="5" t="s">
        <v>19</v>
      </c>
      <c r="M1322" s="5" t="s">
        <v>19</v>
      </c>
      <c r="N1322" s="5" t="s">
        <v>19</v>
      </c>
      <c r="O1322" s="5" t="str">
        <f>HYPERLINK("http://www.lghausys.co.kr/popup/rn/download/downloadPopup.jsp?from=plwindow&amp;uu=/upload/window/REPORT/LGH-WA21-006.pdf","1등급")</f>
        <v>1등급</v>
      </c>
      <c r="P1322" s="5" t="s">
        <v>19</v>
      </c>
      <c r="Q1322" s="5" t="s">
        <v>19</v>
      </c>
      <c r="R1322" s="5" t="s">
        <v>19</v>
      </c>
      <c r="S1322" s="5" t="s">
        <v>19</v>
      </c>
      <c r="T1322" s="5" t="s">
        <v>19</v>
      </c>
      <c r="U1322" s="5" t="s">
        <v>19</v>
      </c>
      <c r="V1322" s="5" t="s">
        <v>19</v>
      </c>
      <c r="W1322" s="5" t="s">
        <v>152</v>
      </c>
      <c r="X1322"/>
    </row>
    <row r="1323" spans="1:24">
      <c r="A1323" t="s">
        <v>83</v>
      </c>
      <c r="B1323" t="s">
        <v>83</v>
      </c>
      <c r="C1323" t="s">
        <v>31</v>
      </c>
      <c r="D1323" t="s">
        <v>53</v>
      </c>
      <c r="E1323" t="s">
        <v>19</v>
      </c>
      <c r="F1323" t="s">
        <v>19</v>
      </c>
      <c r="G1323" t="s">
        <v>19</v>
      </c>
      <c r="H1323" t="s">
        <v>19</v>
      </c>
      <c r="I1323" t="s">
        <v>19</v>
      </c>
      <c r="J1323" t="s">
        <v>97</v>
      </c>
      <c r="K1323" s="21" t="s">
        <v>607</v>
      </c>
      <c r="L1323" s="5" t="s">
        <v>19</v>
      </c>
      <c r="M1323" s="5" t="s">
        <v>19</v>
      </c>
      <c r="N1323" s="5" t="s">
        <v>19</v>
      </c>
      <c r="O1323" s="5" t="str">
        <f>HYPERLINK("http://www.lghausys.co.kr/popup/rn/download/downloadPopup.jsp?from=plwindow&amp;uu=/upload/window/REPORT/LGH-WA21-007.pdf","2등급")</f>
        <v>2등급</v>
      </c>
      <c r="P1323" s="5" t="s">
        <v>19</v>
      </c>
      <c r="Q1323" s="5" t="s">
        <v>19</v>
      </c>
      <c r="R1323" s="5" t="s">
        <v>19</v>
      </c>
      <c r="S1323" s="5" t="s">
        <v>19</v>
      </c>
      <c r="T1323" s="5" t="s">
        <v>19</v>
      </c>
      <c r="U1323" s="5" t="s">
        <v>19</v>
      </c>
      <c r="V1323" s="5" t="s">
        <v>19</v>
      </c>
      <c r="W1323" s="5" t="s">
        <v>152</v>
      </c>
      <c r="X1323"/>
    </row>
    <row r="1324" spans="1:24">
      <c r="A1324" t="s">
        <v>49</v>
      </c>
      <c r="B1324" t="s">
        <v>49</v>
      </c>
      <c r="C1324" t="s">
        <v>31</v>
      </c>
      <c r="D1324" t="s">
        <v>549</v>
      </c>
      <c r="E1324" t="s">
        <v>19</v>
      </c>
      <c r="F1324" t="s">
        <v>19</v>
      </c>
      <c r="G1324" t="s">
        <v>19</v>
      </c>
      <c r="H1324" t="s">
        <v>19</v>
      </c>
      <c r="I1324" t="s">
        <v>19</v>
      </c>
      <c r="J1324" t="s">
        <v>184</v>
      </c>
      <c r="K1324" s="21" t="s">
        <v>607</v>
      </c>
      <c r="L1324" s="5" t="s">
        <v>19</v>
      </c>
      <c r="M1324" s="5" t="s">
        <v>19</v>
      </c>
      <c r="N1324" s="5" t="s">
        <v>19</v>
      </c>
      <c r="O1324" s="5" t="str">
        <f>HYPERLINK("http://www.lghausys.co.kr/popup/rn/download/downloadPopup.jsp?from=plwindow&amp;uu=/upload/window/REPORT/LGH-WA21-010.pdf","2등급")</f>
        <v>2등급</v>
      </c>
      <c r="P1324" s="5" t="s">
        <v>19</v>
      </c>
      <c r="Q1324" s="5" t="s">
        <v>19</v>
      </c>
      <c r="R1324" s="5" t="s">
        <v>19</v>
      </c>
      <c r="S1324" s="5" t="s">
        <v>19</v>
      </c>
      <c r="T1324" s="5" t="s">
        <v>19</v>
      </c>
      <c r="U1324" s="5" t="s">
        <v>19</v>
      </c>
      <c r="V1324" s="5" t="s">
        <v>19</v>
      </c>
      <c r="W1324" s="5" t="s">
        <v>152</v>
      </c>
      <c r="X1324"/>
    </row>
    <row r="1325" spans="1:24">
      <c r="A1325" t="s">
        <v>52</v>
      </c>
      <c r="B1325" t="s">
        <v>52</v>
      </c>
      <c r="C1325" t="s">
        <v>31</v>
      </c>
      <c r="D1325" t="s">
        <v>53</v>
      </c>
      <c r="E1325" t="s">
        <v>19</v>
      </c>
      <c r="F1325" t="s">
        <v>19</v>
      </c>
      <c r="G1325" t="s">
        <v>19</v>
      </c>
      <c r="H1325" t="s">
        <v>549</v>
      </c>
      <c r="I1325" t="s">
        <v>19</v>
      </c>
      <c r="J1325" t="s">
        <v>184</v>
      </c>
      <c r="K1325" s="21" t="s">
        <v>607</v>
      </c>
      <c r="L1325" s="5" t="s">
        <v>19</v>
      </c>
      <c r="M1325" s="5" t="s">
        <v>19</v>
      </c>
      <c r="N1325" s="5" t="s">
        <v>19</v>
      </c>
      <c r="O1325" s="5" t="s">
        <v>19</v>
      </c>
      <c r="P1325" s="5" t="str">
        <f>HYPERLINK("http://www.lghausys.co.kr/popup/rn/download/downloadPopup.jsp?from=plwindow&amp;uu=/upload/window/REPORT/LGH-WA21-011.pdf","50등급")</f>
        <v>50등급</v>
      </c>
      <c r="Q1325" s="5" t="str">
        <f>HYPERLINK("http://www.lghausys.co.kr/popup/rn/download/downloadPopup.jsp?from=plwindow&amp;uu=/upload/window/REPORT/LGH-WA21-011.pdf","400등급")</f>
        <v>400등급</v>
      </c>
      <c r="R1325" s="5" t="s">
        <v>19</v>
      </c>
      <c r="S1325" s="5" t="s">
        <v>19</v>
      </c>
      <c r="T1325" s="5" t="s">
        <v>19</v>
      </c>
      <c r="U1325" s="5" t="s">
        <v>19</v>
      </c>
      <c r="V1325" s="5" t="s">
        <v>19</v>
      </c>
      <c r="W1325" s="5" t="s">
        <v>152</v>
      </c>
      <c r="X1325"/>
    </row>
    <row r="1326" spans="1:24">
      <c r="A1326" t="s">
        <v>30</v>
      </c>
      <c r="B1326" t="s">
        <v>30</v>
      </c>
      <c r="C1326" t="s">
        <v>31</v>
      </c>
      <c r="D1326" t="s">
        <v>53</v>
      </c>
      <c r="E1326" t="s">
        <v>19</v>
      </c>
      <c r="F1326" t="s">
        <v>19</v>
      </c>
      <c r="G1326" t="s">
        <v>19</v>
      </c>
      <c r="H1326" t="s">
        <v>549</v>
      </c>
      <c r="I1326" t="s">
        <v>19</v>
      </c>
      <c r="J1326" t="s">
        <v>184</v>
      </c>
      <c r="K1326" s="21" t="s">
        <v>607</v>
      </c>
      <c r="L1326" s="5" t="s">
        <v>19</v>
      </c>
      <c r="M1326" s="5" t="s">
        <v>19</v>
      </c>
      <c r="N1326" s="5" t="s">
        <v>19</v>
      </c>
      <c r="O1326" s="5" t="str">
        <f>HYPERLINK("http://www.lghausys.co.kr/popup/rn/download/downloadPopup.jsp?from=plwindow&amp;uu=/upload/window/REPORT/LGH-WA21-012.pdf","1등급")</f>
        <v>1등급</v>
      </c>
      <c r="P1326" s="5" t="str">
        <f>HYPERLINK("http://www.lghausys.co.kr/popup/rn/download/downloadPopup.jsp?from=plwindow&amp;uu=/upload/window/REPORT/LGH-WA21-012.pdf","50등급")</f>
        <v>50등급</v>
      </c>
      <c r="Q1326" s="5" t="str">
        <f>HYPERLINK("http://www.lghausys.co.kr/popup/rn/download/downloadPopup.jsp?from=plwindow&amp;uu=/upload/window/REPORT/LGH-WA21-012.pdf","400등급")</f>
        <v>400등급</v>
      </c>
      <c r="R1326" s="5" t="s">
        <v>19</v>
      </c>
      <c r="S1326" s="5" t="s">
        <v>19</v>
      </c>
      <c r="T1326" s="5" t="s">
        <v>19</v>
      </c>
      <c r="U1326" s="5" t="s">
        <v>19</v>
      </c>
      <c r="V1326" s="5" t="s">
        <v>19</v>
      </c>
      <c r="W1326" s="5" t="s">
        <v>152</v>
      </c>
      <c r="X1326"/>
    </row>
    <row r="1327" spans="1:24">
      <c r="A1327" t="s">
        <v>39</v>
      </c>
      <c r="B1327" t="s">
        <v>39</v>
      </c>
      <c r="C1327" t="s">
        <v>34</v>
      </c>
      <c r="D1327" t="s">
        <v>550</v>
      </c>
      <c r="E1327" t="s">
        <v>19</v>
      </c>
      <c r="F1327" t="s">
        <v>19</v>
      </c>
      <c r="G1327" t="s">
        <v>19</v>
      </c>
      <c r="H1327" t="s">
        <v>19</v>
      </c>
      <c r="I1327" t="s">
        <v>19</v>
      </c>
      <c r="J1327" t="s">
        <v>255</v>
      </c>
      <c r="K1327" s="21" t="s">
        <v>607</v>
      </c>
      <c r="L1327" s="5" t="s">
        <v>19</v>
      </c>
      <c r="M1327" s="5" t="s">
        <v>19</v>
      </c>
      <c r="N1327" s="5" t="str">
        <f>HYPERLINK("http://www.lghausys.co.kr/popup/rn/download/downloadPopup.jsp?from=plwindow&amp;uu=/upload/window/REPORT/LGH-TA21-021.pdf","1.258")</f>
        <v>1.258</v>
      </c>
      <c r="O1327" s="5" t="s">
        <v>19</v>
      </c>
      <c r="P1327" s="5" t="s">
        <v>19</v>
      </c>
      <c r="Q1327" s="5" t="s">
        <v>19</v>
      </c>
      <c r="R1327" s="5" t="s">
        <v>19</v>
      </c>
      <c r="S1327" s="5" t="s">
        <v>19</v>
      </c>
      <c r="T1327" s="5" t="s">
        <v>19</v>
      </c>
      <c r="U1327" s="5" t="s">
        <v>19</v>
      </c>
      <c r="V1327" s="5" t="s">
        <v>19</v>
      </c>
      <c r="W1327" s="5" t="s">
        <v>75</v>
      </c>
      <c r="X1327"/>
    </row>
    <row r="1328" spans="1:24">
      <c r="A1328" t="s">
        <v>281</v>
      </c>
      <c r="B1328" t="s">
        <v>281</v>
      </c>
      <c r="C1328" t="s">
        <v>14</v>
      </c>
      <c r="D1328" t="s">
        <v>228</v>
      </c>
      <c r="E1328" t="s">
        <v>19</v>
      </c>
      <c r="F1328" t="s">
        <v>68</v>
      </c>
      <c r="G1328" t="s">
        <v>551</v>
      </c>
      <c r="H1328" t="s">
        <v>66</v>
      </c>
      <c r="I1328" t="s">
        <v>19</v>
      </c>
      <c r="J1328" t="s">
        <v>74</v>
      </c>
      <c r="K1328" s="21" t="s">
        <v>607</v>
      </c>
      <c r="L1328" s="5" t="s">
        <v>19</v>
      </c>
      <c r="M1328" s="5" t="s">
        <v>19</v>
      </c>
      <c r="N1328" s="5" t="s">
        <v>19</v>
      </c>
      <c r="O1328" s="5" t="s">
        <v>19</v>
      </c>
      <c r="P1328" s="5" t="s">
        <v>19</v>
      </c>
      <c r="Q1328" s="5" t="s">
        <v>19</v>
      </c>
      <c r="R1328" s="5" t="s">
        <v>19</v>
      </c>
      <c r="S1328" s="5" t="s">
        <v>19</v>
      </c>
      <c r="T1328" s="5" t="str">
        <f>HYPERLINK("http://www.lghausys.co.kr/popup/rn/download/downloadPopup.jsp?from=plwindow&amp;uu=/upload/window/REPORT/LGH-DA21-009.pdf","결로발생없음")</f>
        <v>결로발생없음</v>
      </c>
      <c r="U1328" s="5" t="s">
        <v>19</v>
      </c>
      <c r="V1328" s="5" t="s">
        <v>19</v>
      </c>
      <c r="W1328" s="5" t="s">
        <v>75</v>
      </c>
      <c r="X1328"/>
    </row>
    <row r="1329" spans="1:24">
      <c r="A1329" t="s">
        <v>73</v>
      </c>
      <c r="B1329" t="s">
        <v>73</v>
      </c>
      <c r="C1329" t="s">
        <v>14</v>
      </c>
      <c r="D1329" t="s">
        <v>532</v>
      </c>
      <c r="E1329" t="s">
        <v>19</v>
      </c>
      <c r="F1329" t="s">
        <v>19</v>
      </c>
      <c r="G1329" t="s">
        <v>19</v>
      </c>
      <c r="H1329" t="s">
        <v>25</v>
      </c>
      <c r="I1329" t="s">
        <v>19</v>
      </c>
      <c r="J1329" t="s">
        <v>552</v>
      </c>
      <c r="K1329" s="21" t="s">
        <v>607</v>
      </c>
      <c r="L1329" s="5" t="s">
        <v>19</v>
      </c>
      <c r="M1329" s="5" t="s">
        <v>19</v>
      </c>
      <c r="N1329" s="5" t="s">
        <v>19</v>
      </c>
      <c r="O1329" s="5" t="s">
        <v>19</v>
      </c>
      <c r="P1329" s="5" t="s">
        <v>19</v>
      </c>
      <c r="Q1329" s="5" t="s">
        <v>19</v>
      </c>
      <c r="R1329" s="5" t="s">
        <v>19</v>
      </c>
      <c r="S1329" s="5" t="s">
        <v>19</v>
      </c>
      <c r="T1329" s="5" t="str">
        <f>HYPERLINK("http://www.lghausys.co.kr/popup/rn/download/downloadPopup.jsp?from=plwindow&amp;uu=/upload/window/REPORT/LGH-DA21-012.pdf","결로발생없음")</f>
        <v>결로발생없음</v>
      </c>
      <c r="U1329" s="5" t="s">
        <v>19</v>
      </c>
      <c r="V1329" s="5" t="s">
        <v>19</v>
      </c>
      <c r="W1329" s="5" t="s">
        <v>75</v>
      </c>
      <c r="X1329"/>
    </row>
    <row r="1330" spans="1:24">
      <c r="A1330" t="s">
        <v>52</v>
      </c>
      <c r="B1330" t="s">
        <v>52</v>
      </c>
      <c r="C1330" t="s">
        <v>31</v>
      </c>
      <c r="D1330" t="s">
        <v>25</v>
      </c>
      <c r="E1330" t="s">
        <v>19</v>
      </c>
      <c r="F1330" t="s">
        <v>19</v>
      </c>
      <c r="G1330" t="s">
        <v>19</v>
      </c>
      <c r="H1330" t="s">
        <v>28</v>
      </c>
      <c r="I1330" t="s">
        <v>19</v>
      </c>
      <c r="J1330" t="s">
        <v>97</v>
      </c>
      <c r="K1330" s="21" t="s">
        <v>607</v>
      </c>
      <c r="L1330" s="5" t="s">
        <v>19</v>
      </c>
      <c r="M1330" s="5" t="s">
        <v>19</v>
      </c>
      <c r="N1330" s="5" t="s">
        <v>19</v>
      </c>
      <c r="O1330" s="5" t="str">
        <f>HYPERLINK("http://www.lghausys.co.kr/popup/rn/download/downloadPopup.jsp?from=plwindow&amp;uu=/upload/window/REPORT/LGH-WA21-014.pdf","1등급")</f>
        <v>1등급</v>
      </c>
      <c r="P1330" s="5" t="s">
        <v>19</v>
      </c>
      <c r="Q1330" s="5" t="s">
        <v>19</v>
      </c>
      <c r="R1330" s="5" t="s">
        <v>19</v>
      </c>
      <c r="S1330" s="5" t="s">
        <v>19</v>
      </c>
      <c r="T1330" s="5" t="s">
        <v>19</v>
      </c>
      <c r="U1330" s="5" t="s">
        <v>19</v>
      </c>
      <c r="V1330" s="5" t="s">
        <v>19</v>
      </c>
      <c r="W1330" s="5" t="s">
        <v>152</v>
      </c>
      <c r="X1330"/>
    </row>
    <row r="1331" spans="1:24">
      <c r="A1331" t="s">
        <v>133</v>
      </c>
      <c r="B1331" t="s">
        <v>133</v>
      </c>
      <c r="C1331" t="s">
        <v>31</v>
      </c>
      <c r="D1331" t="s">
        <v>25</v>
      </c>
      <c r="E1331" t="s">
        <v>158</v>
      </c>
      <c r="F1331" t="s">
        <v>19</v>
      </c>
      <c r="G1331" t="s">
        <v>19</v>
      </c>
      <c r="H1331" t="s">
        <v>28</v>
      </c>
      <c r="I1331" t="s">
        <v>19</v>
      </c>
      <c r="J1331" t="s">
        <v>74</v>
      </c>
      <c r="K1331" s="21" t="s">
        <v>607</v>
      </c>
      <c r="L1331" s="5" t="s">
        <v>19</v>
      </c>
      <c r="M1331" s="5" t="s">
        <v>19</v>
      </c>
      <c r="N1331" s="5" t="s">
        <v>19</v>
      </c>
      <c r="O1331" s="5" t="str">
        <f>HYPERLINK("http://www.lghausys.co.kr/popup/rn/download/downloadPopup.jsp?from=plwindow&amp;uu=/upload/window/REPORT/LGH-WA21-015.pdf","1등급")</f>
        <v>1등급</v>
      </c>
      <c r="P1331" s="5" t="s">
        <v>19</v>
      </c>
      <c r="Q1331" s="5" t="s">
        <v>19</v>
      </c>
      <c r="R1331" s="5" t="s">
        <v>19</v>
      </c>
      <c r="S1331" s="5" t="s">
        <v>19</v>
      </c>
      <c r="T1331" s="5" t="s">
        <v>19</v>
      </c>
      <c r="U1331" s="5" t="s">
        <v>19</v>
      </c>
      <c r="V1331" s="5" t="s">
        <v>19</v>
      </c>
      <c r="W1331" s="5" t="s">
        <v>152</v>
      </c>
      <c r="X1331"/>
    </row>
    <row r="1332" spans="1:24">
      <c r="A1332" t="s">
        <v>73</v>
      </c>
      <c r="B1332" t="s">
        <v>73</v>
      </c>
      <c r="C1332" t="s">
        <v>31</v>
      </c>
      <c r="D1332" t="s">
        <v>25</v>
      </c>
      <c r="E1332" t="s">
        <v>19</v>
      </c>
      <c r="F1332" t="s">
        <v>19</v>
      </c>
      <c r="G1332" t="s">
        <v>19</v>
      </c>
      <c r="H1332" t="s">
        <v>25</v>
      </c>
      <c r="I1332" t="s">
        <v>19</v>
      </c>
      <c r="J1332" t="s">
        <v>74</v>
      </c>
      <c r="K1332" s="21" t="s">
        <v>607</v>
      </c>
      <c r="L1332" s="5" t="s">
        <v>19</v>
      </c>
      <c r="M1332" s="5" t="s">
        <v>19</v>
      </c>
      <c r="N1332" s="5" t="s">
        <v>19</v>
      </c>
      <c r="O1332" s="5" t="str">
        <f>HYPERLINK("http://www.lghausys.co.kr/popup/rn/download/downloadPopup.jsp?from=plwindow&amp;uu=/upload/window/REPORT/LGH-WA21-016.pdf","1등급")</f>
        <v>1등급</v>
      </c>
      <c r="P1332" s="5" t="s">
        <v>19</v>
      </c>
      <c r="Q1332" s="5" t="s">
        <v>19</v>
      </c>
      <c r="R1332" s="5" t="s">
        <v>19</v>
      </c>
      <c r="S1332" s="5" t="s">
        <v>19</v>
      </c>
      <c r="T1332" s="5" t="s">
        <v>19</v>
      </c>
      <c r="U1332" s="5" t="s">
        <v>19</v>
      </c>
      <c r="V1332" s="5" t="s">
        <v>19</v>
      </c>
      <c r="W1332" s="5" t="s">
        <v>152</v>
      </c>
      <c r="X1332"/>
    </row>
    <row r="1333" spans="1:24">
      <c r="A1333" t="s">
        <v>395</v>
      </c>
      <c r="B1333" t="s">
        <v>395</v>
      </c>
      <c r="C1333" t="s">
        <v>31</v>
      </c>
      <c r="D1333" t="s">
        <v>553</v>
      </c>
      <c r="E1333" t="s">
        <v>19</v>
      </c>
      <c r="F1333" t="s">
        <v>66</v>
      </c>
      <c r="G1333" t="s">
        <v>182</v>
      </c>
      <c r="H1333" t="s">
        <v>19</v>
      </c>
      <c r="I1333" t="s">
        <v>19</v>
      </c>
      <c r="J1333" t="s">
        <v>74</v>
      </c>
      <c r="K1333" s="21" t="s">
        <v>607</v>
      </c>
      <c r="L1333" s="5" t="s">
        <v>19</v>
      </c>
      <c r="M1333" s="5" t="s">
        <v>19</v>
      </c>
      <c r="N1333" s="5" t="s">
        <v>19</v>
      </c>
      <c r="O1333" s="5" t="str">
        <f>HYPERLINK("http://www.lghausys.co.kr/popup/rn/download/downloadPopup.jsp?from=plwindow&amp;uu=/upload/window/REPORT/LGH-WA21-019.pdf","2등급")</f>
        <v>2등급</v>
      </c>
      <c r="P1333" s="5" t="s">
        <v>19</v>
      </c>
      <c r="Q1333" s="5" t="s">
        <v>19</v>
      </c>
      <c r="R1333" s="5" t="s">
        <v>19</v>
      </c>
      <c r="S1333" s="5" t="s">
        <v>19</v>
      </c>
      <c r="T1333" s="5" t="s">
        <v>19</v>
      </c>
      <c r="U1333" s="5" t="s">
        <v>19</v>
      </c>
      <c r="V1333" s="5" t="s">
        <v>19</v>
      </c>
      <c r="W1333" s="5" t="s">
        <v>152</v>
      </c>
      <c r="X1333"/>
    </row>
    <row r="1334" spans="1:24">
      <c r="A1334" t="s">
        <v>281</v>
      </c>
      <c r="B1334" t="s">
        <v>281</v>
      </c>
      <c r="C1334" t="s">
        <v>31</v>
      </c>
      <c r="D1334" t="s">
        <v>228</v>
      </c>
      <c r="E1334" t="s">
        <v>19</v>
      </c>
      <c r="F1334" t="s">
        <v>68</v>
      </c>
      <c r="G1334" t="s">
        <v>551</v>
      </c>
      <c r="H1334" t="s">
        <v>66</v>
      </c>
      <c r="I1334" t="s">
        <v>19</v>
      </c>
      <c r="J1334" t="s">
        <v>74</v>
      </c>
      <c r="K1334" s="21" t="s">
        <v>607</v>
      </c>
      <c r="L1334" s="5" t="s">
        <v>19</v>
      </c>
      <c r="M1334" s="5" t="s">
        <v>19</v>
      </c>
      <c r="N1334" s="5" t="s">
        <v>19</v>
      </c>
      <c r="O1334" s="5" t="str">
        <f>HYPERLINK("http://www.lghausys.co.kr/popup/rn/download/downloadPopup.jsp?from=plwindow&amp;uu=/upload/window/REPORT/LGH-WA21-020.pdf","1등급")</f>
        <v>1등급</v>
      </c>
      <c r="P1334" s="5" t="s">
        <v>19</v>
      </c>
      <c r="Q1334" s="5" t="s">
        <v>19</v>
      </c>
      <c r="R1334" s="5" t="s">
        <v>19</v>
      </c>
      <c r="S1334" s="5" t="s">
        <v>19</v>
      </c>
      <c r="T1334" s="5" t="s">
        <v>19</v>
      </c>
      <c r="U1334" s="5" t="s">
        <v>19</v>
      </c>
      <c r="V1334" s="5" t="s">
        <v>19</v>
      </c>
      <c r="W1334" s="5" t="s">
        <v>152</v>
      </c>
      <c r="X1334"/>
    </row>
    <row r="1335" spans="1:24">
      <c r="A1335" t="s">
        <v>39</v>
      </c>
      <c r="B1335" t="s">
        <v>39</v>
      </c>
      <c r="C1335" t="s">
        <v>31</v>
      </c>
      <c r="D1335" t="s">
        <v>550</v>
      </c>
      <c r="E1335" t="s">
        <v>19</v>
      </c>
      <c r="F1335" t="s">
        <v>19</v>
      </c>
      <c r="G1335" t="s">
        <v>19</v>
      </c>
      <c r="H1335" t="s">
        <v>19</v>
      </c>
      <c r="I1335" t="s">
        <v>19</v>
      </c>
      <c r="J1335" t="s">
        <v>255</v>
      </c>
      <c r="K1335" s="21" t="s">
        <v>607</v>
      </c>
      <c r="L1335" s="5" t="s">
        <v>19</v>
      </c>
      <c r="M1335" s="5" t="s">
        <v>19</v>
      </c>
      <c r="N1335" s="5" t="s">
        <v>19</v>
      </c>
      <c r="O1335" s="5" t="str">
        <f>HYPERLINK("http://www.lghausys.co.kr/popup/rn/download/downloadPopup.jsp?from=plwindow&amp;uu=/upload/window/REPORT/LGH-WA21-021.pdf","1등급")</f>
        <v>1등급</v>
      </c>
      <c r="P1335" s="5" t="s">
        <v>19</v>
      </c>
      <c r="Q1335" s="5" t="s">
        <v>19</v>
      </c>
      <c r="R1335" s="5" t="s">
        <v>19</v>
      </c>
      <c r="S1335" s="5" t="s">
        <v>19</v>
      </c>
      <c r="T1335" s="5" t="s">
        <v>19</v>
      </c>
      <c r="U1335" s="5" t="s">
        <v>19</v>
      </c>
      <c r="V1335" s="5" t="s">
        <v>19</v>
      </c>
      <c r="W1335" s="5" t="s">
        <v>152</v>
      </c>
      <c r="X1335"/>
    </row>
    <row r="1336" spans="1:24">
      <c r="A1336" t="s">
        <v>52</v>
      </c>
      <c r="B1336" t="s">
        <v>52</v>
      </c>
      <c r="C1336" t="s">
        <v>31</v>
      </c>
      <c r="D1336" t="s">
        <v>554</v>
      </c>
      <c r="E1336" t="s">
        <v>19</v>
      </c>
      <c r="F1336" t="s">
        <v>19</v>
      </c>
      <c r="G1336" t="s">
        <v>19</v>
      </c>
      <c r="H1336" t="s">
        <v>25</v>
      </c>
      <c r="I1336" t="s">
        <v>19</v>
      </c>
      <c r="J1336" t="s">
        <v>97</v>
      </c>
      <c r="K1336" s="21" t="s">
        <v>607</v>
      </c>
      <c r="L1336" s="5" t="s">
        <v>19</v>
      </c>
      <c r="M1336" s="5" t="s">
        <v>19</v>
      </c>
      <c r="N1336" s="5" t="s">
        <v>19</v>
      </c>
      <c r="O1336" s="5" t="str">
        <f>HYPERLINK("http://www.lghausys.co.kr/popup/rn/download/downloadPopup.jsp?from=plwindow&amp;uu=/upload/window/REPORT/LGH-WA21-022.pdf","1등급")</f>
        <v>1등급</v>
      </c>
      <c r="P1336" s="5" t="s">
        <v>19</v>
      </c>
      <c r="Q1336" s="5" t="s">
        <v>19</v>
      </c>
      <c r="R1336" s="5" t="s">
        <v>19</v>
      </c>
      <c r="S1336" s="5" t="s">
        <v>19</v>
      </c>
      <c r="T1336" s="5" t="s">
        <v>19</v>
      </c>
      <c r="U1336" s="5" t="s">
        <v>19</v>
      </c>
      <c r="V1336" s="5" t="s">
        <v>19</v>
      </c>
      <c r="W1336" s="5" t="s">
        <v>152</v>
      </c>
      <c r="X1336"/>
    </row>
    <row r="1337" spans="1:24">
      <c r="A1337" t="s">
        <v>139</v>
      </c>
      <c r="B1337" t="s">
        <v>139</v>
      </c>
      <c r="C1337" t="s">
        <v>31</v>
      </c>
      <c r="D1337" t="s">
        <v>528</v>
      </c>
      <c r="E1337" t="s">
        <v>19</v>
      </c>
      <c r="F1337" t="s">
        <v>554</v>
      </c>
      <c r="G1337" t="s">
        <v>182</v>
      </c>
      <c r="H1337" t="s">
        <v>25</v>
      </c>
      <c r="I1337" t="s">
        <v>19</v>
      </c>
      <c r="J1337" t="s">
        <v>97</v>
      </c>
      <c r="K1337" s="21" t="s">
        <v>607</v>
      </c>
      <c r="L1337" s="5" t="s">
        <v>19</v>
      </c>
      <c r="M1337" s="5" t="s">
        <v>19</v>
      </c>
      <c r="N1337" s="5" t="s">
        <v>19</v>
      </c>
      <c r="O1337" s="5" t="str">
        <f>HYPERLINK("http://www.lghausys.co.kr/popup/rn/download/downloadPopup.jsp?from=plwindow&amp;uu=/upload/window/REPORT/LGH-WA21-023.pdf","1등급")</f>
        <v>1등급</v>
      </c>
      <c r="P1337" s="5" t="s">
        <v>19</v>
      </c>
      <c r="Q1337" s="5" t="s">
        <v>19</v>
      </c>
      <c r="R1337" s="5" t="s">
        <v>19</v>
      </c>
      <c r="S1337" s="5" t="s">
        <v>19</v>
      </c>
      <c r="T1337" s="5" t="s">
        <v>19</v>
      </c>
      <c r="U1337" s="5" t="s">
        <v>19</v>
      </c>
      <c r="V1337" s="5" t="s">
        <v>19</v>
      </c>
      <c r="W1337" s="5" t="s">
        <v>152</v>
      </c>
      <c r="X1337"/>
    </row>
    <row r="1338" spans="1:24">
      <c r="A1338" t="s">
        <v>60</v>
      </c>
      <c r="B1338" t="s">
        <v>60</v>
      </c>
      <c r="C1338" t="s">
        <v>20</v>
      </c>
      <c r="D1338" t="s">
        <v>555</v>
      </c>
      <c r="E1338" t="s">
        <v>19</v>
      </c>
      <c r="F1338" t="s">
        <v>19</v>
      </c>
      <c r="G1338" t="s">
        <v>19</v>
      </c>
      <c r="H1338" t="s">
        <v>68</v>
      </c>
      <c r="I1338" t="s">
        <v>19</v>
      </c>
      <c r="J1338" t="s">
        <v>74</v>
      </c>
      <c r="K1338" s="21" t="str">
        <f>IF(X1338&lt;=0.9,HYPERLINK("http://www.lxhausys.co.kr/popup/rn/download/downloadPopup.jsp?from=plwindow&amp;uu=/upload/window/REPORT/LGH-TW21-017.pdf","1등급"),IF(X1338&lt;=1.2,HYPERLINK("http://www.lxhausys.co.kr/popup/rn/download/downloadPopup.jsp?from=plwindow&amp;uu=/upload/window/REPORT/LGH-TW21-017.pdf","2등급"),IF(X1338&lt;=1.8,HYPERLINK("http://www.lxhausys.co.kr/popup/rn/download/downloadPopup.jsp?from=plwindow&amp;uu=/upload/window/REPORT/LGH-TW21-017.pdf","3등급"),IF(X1338&lt;=2.3,HYPERLINK("http://www.lxhausys.co.kr/popup/rn/download/downloadPopup.jsp?from=plwindow&amp;uu=/upload/window/REPORT/LGH-TW21-017.pdf","4등급"),IF(X1338&lt;=2.8,HYPERLINK("http://www.lxhausys.co.kr/popup/rn/download/downloadPopup.jsp?from=plwindow&amp;uu=/upload/window/REPORT/LGH-TW21-017.pdf","5등급"),HYPERLINK("http://www.lxhausys.co.kr/popup/rn/download/downloadPopup.jsp?from=plwindow&amp;uu=/upload/window/REPORT/LGH-TW21-017.pdf","등급외"))))))</f>
        <v>2등급</v>
      </c>
      <c r="L1338" s="5">
        <v>0.99199999999999999</v>
      </c>
      <c r="M1338" s="5" t="s">
        <v>556</v>
      </c>
      <c r="N1338" s="5" t="s">
        <v>607</v>
      </c>
      <c r="O1338" s="5" t="s">
        <v>19</v>
      </c>
      <c r="P1338" s="5" t="s">
        <v>19</v>
      </c>
      <c r="Q1338" s="5" t="s">
        <v>19</v>
      </c>
      <c r="R1338" s="5" t="s">
        <v>19</v>
      </c>
      <c r="S1338" s="5" t="s">
        <v>19</v>
      </c>
      <c r="T1338" s="5" t="s">
        <v>19</v>
      </c>
      <c r="U1338" s="5" t="s">
        <v>19</v>
      </c>
      <c r="V1338" s="5" t="s">
        <v>19</v>
      </c>
      <c r="W1338" s="5" t="s">
        <v>19</v>
      </c>
      <c r="X1338" s="19">
        <f>L1338</f>
        <v>0.99199999999999999</v>
      </c>
    </row>
    <row r="1339" spans="1:24">
      <c r="A1339" t="s">
        <v>52</v>
      </c>
      <c r="B1339" t="s">
        <v>52</v>
      </c>
      <c r="C1339" t="s">
        <v>14</v>
      </c>
      <c r="D1339" t="s">
        <v>64</v>
      </c>
      <c r="E1339" t="s">
        <v>19</v>
      </c>
      <c r="F1339" t="s">
        <v>19</v>
      </c>
      <c r="G1339" t="s">
        <v>19</v>
      </c>
      <c r="H1339" t="s">
        <v>25</v>
      </c>
      <c r="I1339" t="s">
        <v>19</v>
      </c>
      <c r="J1339" t="s">
        <v>184</v>
      </c>
      <c r="K1339" s="21" t="s">
        <v>607</v>
      </c>
      <c r="L1339" s="5" t="s">
        <v>19</v>
      </c>
      <c r="M1339" s="5" t="s">
        <v>19</v>
      </c>
      <c r="N1339" s="5" t="s">
        <v>19</v>
      </c>
      <c r="O1339" s="5" t="s">
        <v>19</v>
      </c>
      <c r="P1339" s="5" t="s">
        <v>19</v>
      </c>
      <c r="Q1339" s="5" t="s">
        <v>19</v>
      </c>
      <c r="R1339" s="5" t="s">
        <v>19</v>
      </c>
      <c r="S1339" s="5" t="s">
        <v>19</v>
      </c>
      <c r="T1339" s="5" t="str">
        <f>HYPERLINK("http://www.lghausys.co.kr/popup/rn/download/downloadPopup.jsp?from=plwindow&amp;uu=/upload/window/REPORT/LGH-DA21-013.pdf","결로발생없음")</f>
        <v>결로발생없음</v>
      </c>
      <c r="U1339" s="5" t="s">
        <v>19</v>
      </c>
      <c r="V1339" s="5" t="s">
        <v>19</v>
      </c>
      <c r="W1339" s="5" t="s">
        <v>75</v>
      </c>
      <c r="X1339"/>
    </row>
    <row r="1340" spans="1:24">
      <c r="A1340" t="s">
        <v>52</v>
      </c>
      <c r="B1340" t="s">
        <v>52</v>
      </c>
      <c r="C1340" t="s">
        <v>34</v>
      </c>
      <c r="D1340" t="s">
        <v>25</v>
      </c>
      <c r="E1340" t="s">
        <v>19</v>
      </c>
      <c r="F1340" t="s">
        <v>19</v>
      </c>
      <c r="G1340" t="s">
        <v>19</v>
      </c>
      <c r="H1340" t="s">
        <v>28</v>
      </c>
      <c r="I1340" t="s">
        <v>19</v>
      </c>
      <c r="J1340" t="s">
        <v>97</v>
      </c>
      <c r="K1340" s="21" t="s">
        <v>607</v>
      </c>
      <c r="L1340" s="5" t="s">
        <v>19</v>
      </c>
      <c r="M1340" s="5" t="s">
        <v>19</v>
      </c>
      <c r="N1340" s="5" t="str">
        <f>HYPERLINK("http://www.lghausys.co.kr/popup/rn/download/downloadPopup.jsp?from=plwindow&amp;uu=/upload/window/REPORT/LGH-TA21-026.pdf","1.016")</f>
        <v>1.016</v>
      </c>
      <c r="O1340" s="5" t="s">
        <v>19</v>
      </c>
      <c r="P1340" s="5" t="s">
        <v>19</v>
      </c>
      <c r="Q1340" s="5" t="s">
        <v>19</v>
      </c>
      <c r="R1340" s="5" t="s">
        <v>19</v>
      </c>
      <c r="S1340" s="5" t="s">
        <v>19</v>
      </c>
      <c r="T1340" s="5" t="s">
        <v>19</v>
      </c>
      <c r="U1340" s="5" t="s">
        <v>19</v>
      </c>
      <c r="V1340" s="5" t="s">
        <v>19</v>
      </c>
      <c r="W1340" s="5" t="s">
        <v>75</v>
      </c>
      <c r="X1340"/>
    </row>
    <row r="1341" spans="1:24">
      <c r="A1341" t="s">
        <v>100</v>
      </c>
      <c r="B1341" t="s">
        <v>100</v>
      </c>
      <c r="C1341" t="s">
        <v>34</v>
      </c>
      <c r="D1341" t="s">
        <v>81</v>
      </c>
      <c r="E1341" t="s">
        <v>19</v>
      </c>
      <c r="F1341" t="s">
        <v>19</v>
      </c>
      <c r="G1341" t="s">
        <v>19</v>
      </c>
      <c r="H1341" t="s">
        <v>41</v>
      </c>
      <c r="I1341" t="s">
        <v>19</v>
      </c>
      <c r="J1341" t="s">
        <v>74</v>
      </c>
      <c r="K1341" s="21" t="s">
        <v>607</v>
      </c>
      <c r="L1341" s="5" t="s">
        <v>19</v>
      </c>
      <c r="M1341" s="5" t="s">
        <v>19</v>
      </c>
      <c r="N1341" s="5" t="str">
        <f>HYPERLINK("http://www.lghausys.co.kr/popup/rn/download/downloadPopup.jsp?from=plwindow&amp;uu=/upload/window/REPORT/LGH-TA21-030.pdf","1.211")</f>
        <v>1.211</v>
      </c>
      <c r="O1341" s="5" t="s">
        <v>19</v>
      </c>
      <c r="P1341" s="5" t="s">
        <v>19</v>
      </c>
      <c r="Q1341" s="5" t="s">
        <v>19</v>
      </c>
      <c r="R1341" s="5" t="s">
        <v>19</v>
      </c>
      <c r="S1341" s="5" t="s">
        <v>19</v>
      </c>
      <c r="T1341" s="5" t="s">
        <v>19</v>
      </c>
      <c r="U1341" s="5" t="s">
        <v>19</v>
      </c>
      <c r="V1341" s="5" t="s">
        <v>19</v>
      </c>
      <c r="W1341" s="5" t="s">
        <v>75</v>
      </c>
      <c r="X1341"/>
    </row>
    <row r="1342" spans="1:24">
      <c r="A1342" t="s">
        <v>52</v>
      </c>
      <c r="B1342" t="s">
        <v>52</v>
      </c>
      <c r="C1342" t="s">
        <v>34</v>
      </c>
      <c r="D1342" t="s">
        <v>25</v>
      </c>
      <c r="E1342" t="s">
        <v>19</v>
      </c>
      <c r="F1342" t="s">
        <v>19</v>
      </c>
      <c r="G1342" t="s">
        <v>19</v>
      </c>
      <c r="H1342" t="s">
        <v>28</v>
      </c>
      <c r="I1342" t="s">
        <v>19</v>
      </c>
      <c r="J1342" t="s">
        <v>97</v>
      </c>
      <c r="K1342" s="21" t="s">
        <v>607</v>
      </c>
      <c r="L1342" s="5" t="s">
        <v>19</v>
      </c>
      <c r="M1342" s="5" t="s">
        <v>19</v>
      </c>
      <c r="N1342" s="5" t="str">
        <f>HYPERLINK("http://www.lghausys.co.kr/popup/rn/download/downloadPopup.jsp?from=plwindow&amp;uu=/upload/window/REPORT/LGH-TA21-037.pdf","1.014")</f>
        <v>1.014</v>
      </c>
      <c r="O1342" s="5" t="s">
        <v>19</v>
      </c>
      <c r="P1342" s="5" t="s">
        <v>19</v>
      </c>
      <c r="Q1342" s="5" t="s">
        <v>19</v>
      </c>
      <c r="R1342" s="5" t="s">
        <v>19</v>
      </c>
      <c r="S1342" s="5" t="s">
        <v>19</v>
      </c>
      <c r="T1342" s="5" t="s">
        <v>19</v>
      </c>
      <c r="U1342" s="5" t="s">
        <v>19</v>
      </c>
      <c r="V1342" s="5" t="s">
        <v>19</v>
      </c>
      <c r="W1342" s="5" t="s">
        <v>75</v>
      </c>
      <c r="X1342"/>
    </row>
    <row r="1343" spans="1:24">
      <c r="A1343" t="s">
        <v>224</v>
      </c>
      <c r="B1343" t="s">
        <v>224</v>
      </c>
      <c r="C1343" t="s">
        <v>31</v>
      </c>
      <c r="D1343" t="s">
        <v>28</v>
      </c>
      <c r="E1343" t="s">
        <v>19</v>
      </c>
      <c r="F1343" t="s">
        <v>19</v>
      </c>
      <c r="G1343" t="s">
        <v>19</v>
      </c>
      <c r="H1343" t="s">
        <v>19</v>
      </c>
      <c r="I1343" t="s">
        <v>19</v>
      </c>
      <c r="J1343" t="s">
        <v>97</v>
      </c>
      <c r="K1343" s="21" t="s">
        <v>607</v>
      </c>
      <c r="L1343" s="5" t="s">
        <v>19</v>
      </c>
      <c r="M1343" s="5" t="s">
        <v>19</v>
      </c>
      <c r="N1343" s="5" t="s">
        <v>19</v>
      </c>
      <c r="O1343" s="5" t="str">
        <f>HYPERLINK("http://www.lghausys.co.kr/popup/rn/download/downloadPopup.jsp?from=plwindow&amp;uu=/upload/window/REPORT/LGH-WA21-024.pdf","2등급")</f>
        <v>2등급</v>
      </c>
      <c r="P1343" s="5" t="s">
        <v>19</v>
      </c>
      <c r="Q1343" s="5" t="s">
        <v>19</v>
      </c>
      <c r="R1343" s="5" t="s">
        <v>19</v>
      </c>
      <c r="S1343" s="5" t="s">
        <v>19</v>
      </c>
      <c r="T1343" s="5" t="s">
        <v>19</v>
      </c>
      <c r="U1343" s="5" t="s">
        <v>19</v>
      </c>
      <c r="V1343" s="5" t="s">
        <v>19</v>
      </c>
      <c r="W1343" s="5" t="s">
        <v>152</v>
      </c>
      <c r="X1343"/>
    </row>
    <row r="1344" spans="1:24">
      <c r="A1344" t="s">
        <v>48</v>
      </c>
      <c r="B1344" t="s">
        <v>48</v>
      </c>
      <c r="C1344" t="s">
        <v>31</v>
      </c>
      <c r="D1344" t="s">
        <v>25</v>
      </c>
      <c r="E1344" t="s">
        <v>19</v>
      </c>
      <c r="F1344" t="s">
        <v>19</v>
      </c>
      <c r="G1344" t="s">
        <v>19</v>
      </c>
      <c r="H1344" t="s">
        <v>25</v>
      </c>
      <c r="I1344" t="s">
        <v>19</v>
      </c>
      <c r="J1344" t="s">
        <v>74</v>
      </c>
      <c r="K1344" s="21" t="s">
        <v>607</v>
      </c>
      <c r="L1344" s="5" t="s">
        <v>19</v>
      </c>
      <c r="M1344" s="5" t="s">
        <v>19</v>
      </c>
      <c r="N1344" s="5" t="s">
        <v>19</v>
      </c>
      <c r="O1344" s="5" t="str">
        <f>HYPERLINK("http://www.lghausys.co.kr/popup/rn/download/downloadPopup.jsp?from=plwindow&amp;uu=/upload/window/REPORT/LGH-WA21-025.pdf","1등급")</f>
        <v>1등급</v>
      </c>
      <c r="P1344" s="5" t="s">
        <v>19</v>
      </c>
      <c r="Q1344" s="5" t="s">
        <v>19</v>
      </c>
      <c r="R1344" s="5" t="s">
        <v>19</v>
      </c>
      <c r="S1344" s="5" t="s">
        <v>19</v>
      </c>
      <c r="T1344" s="5" t="s">
        <v>19</v>
      </c>
      <c r="U1344" s="5" t="s">
        <v>19</v>
      </c>
      <c r="V1344" s="5" t="s">
        <v>19</v>
      </c>
      <c r="W1344" s="5" t="s">
        <v>152</v>
      </c>
      <c r="X1344"/>
    </row>
    <row r="1345" spans="1:24">
      <c r="A1345" t="s">
        <v>224</v>
      </c>
      <c r="B1345" t="s">
        <v>224</v>
      </c>
      <c r="C1345" t="s">
        <v>31</v>
      </c>
      <c r="D1345" t="s">
        <v>53</v>
      </c>
      <c r="E1345" t="s">
        <v>19</v>
      </c>
      <c r="F1345" t="s">
        <v>19</v>
      </c>
      <c r="G1345" t="s">
        <v>19</v>
      </c>
      <c r="H1345" t="s">
        <v>19</v>
      </c>
      <c r="I1345" t="s">
        <v>19</v>
      </c>
      <c r="J1345" t="s">
        <v>97</v>
      </c>
      <c r="K1345" s="21" t="s">
        <v>607</v>
      </c>
      <c r="L1345" s="5" t="s">
        <v>19</v>
      </c>
      <c r="M1345" s="5" t="s">
        <v>19</v>
      </c>
      <c r="N1345" s="5" t="s">
        <v>19</v>
      </c>
      <c r="O1345" s="5" t="str">
        <f>HYPERLINK("http://www.lghausys.co.kr/popup/rn/download/downloadPopup.jsp?from=plwindow&amp;uu=/upload/window/REPORT/LGH-WA21-026.pdf","2등급")</f>
        <v>2등급</v>
      </c>
      <c r="P1345" s="5" t="s">
        <v>19</v>
      </c>
      <c r="Q1345" s="5" t="s">
        <v>19</v>
      </c>
      <c r="R1345" s="5" t="s">
        <v>19</v>
      </c>
      <c r="S1345" s="5" t="s">
        <v>19</v>
      </c>
      <c r="T1345" s="5" t="s">
        <v>19</v>
      </c>
      <c r="U1345" s="5" t="s">
        <v>19</v>
      </c>
      <c r="V1345" s="5" t="s">
        <v>19</v>
      </c>
      <c r="W1345" s="5" t="s">
        <v>152</v>
      </c>
      <c r="X1345"/>
    </row>
    <row r="1346" spans="1:24">
      <c r="A1346" t="s">
        <v>52</v>
      </c>
      <c r="B1346" t="s">
        <v>52</v>
      </c>
      <c r="C1346" t="s">
        <v>31</v>
      </c>
      <c r="D1346" t="s">
        <v>25</v>
      </c>
      <c r="E1346" t="s">
        <v>19</v>
      </c>
      <c r="F1346" t="s">
        <v>19</v>
      </c>
      <c r="G1346" t="s">
        <v>19</v>
      </c>
      <c r="H1346" t="s">
        <v>53</v>
      </c>
      <c r="I1346" t="s">
        <v>19</v>
      </c>
      <c r="J1346" t="s">
        <v>145</v>
      </c>
      <c r="K1346" s="21" t="s">
        <v>607</v>
      </c>
      <c r="L1346" s="5" t="s">
        <v>19</v>
      </c>
      <c r="M1346" s="5" t="s">
        <v>19</v>
      </c>
      <c r="N1346" s="5" t="s">
        <v>19</v>
      </c>
      <c r="O1346" s="5" t="str">
        <f>HYPERLINK("http://www.lghausys.co.kr/popup/rn/download/downloadPopup.jsp?from=plwindow&amp;uu=/upload/window/REPORT/LGH-WA21-027.pdf","1등급")</f>
        <v>1등급</v>
      </c>
      <c r="P1346" s="5" t="str">
        <f>HYPERLINK("http://www.lghausys.co.kr/popup/rn/download/downloadPopup.jsp?from=plwindow&amp;uu=/upload/window/REPORT/LGH-WA21-027.pdf","50등급")</f>
        <v>50등급</v>
      </c>
      <c r="Q1346" s="5" t="str">
        <f>HYPERLINK("http://www.lghausys.co.kr/popup/rn/download/downloadPopup.jsp?from=plwindow&amp;uu=/upload/window/REPORT/LGH-WA21-027.pdf","360등급")</f>
        <v>360등급</v>
      </c>
      <c r="R1346" s="5" t="s">
        <v>19</v>
      </c>
      <c r="S1346" s="5" t="s">
        <v>19</v>
      </c>
      <c r="T1346" s="5" t="s">
        <v>19</v>
      </c>
      <c r="U1346" s="5" t="s">
        <v>19</v>
      </c>
      <c r="V1346" s="5" t="s">
        <v>19</v>
      </c>
      <c r="W1346" s="5" t="s">
        <v>152</v>
      </c>
      <c r="X1346"/>
    </row>
    <row r="1347" spans="1:24">
      <c r="A1347" t="s">
        <v>73</v>
      </c>
      <c r="B1347" t="s">
        <v>73</v>
      </c>
      <c r="C1347" t="s">
        <v>31</v>
      </c>
      <c r="D1347" t="s">
        <v>28</v>
      </c>
      <c r="E1347" t="s">
        <v>19</v>
      </c>
      <c r="F1347" t="s">
        <v>19</v>
      </c>
      <c r="G1347" t="s">
        <v>19</v>
      </c>
      <c r="H1347" t="s">
        <v>28</v>
      </c>
      <c r="I1347" t="s">
        <v>19</v>
      </c>
      <c r="J1347" t="s">
        <v>97</v>
      </c>
      <c r="K1347" s="21" t="s">
        <v>607</v>
      </c>
      <c r="L1347" s="5" t="s">
        <v>19</v>
      </c>
      <c r="M1347" s="5" t="s">
        <v>19</v>
      </c>
      <c r="N1347" s="5" t="s">
        <v>19</v>
      </c>
      <c r="O1347" s="5" t="str">
        <f>HYPERLINK("http://www.lghausys.co.kr/popup/rn/download/downloadPopup.jsp?from=plwindow&amp;uu=/upload/window/REPORT/LGH-WA21-028.pdf","1등급")</f>
        <v>1등급</v>
      </c>
      <c r="P1347" s="5" t="str">
        <f>HYPERLINK("http://www.lghausys.co.kr/popup/rn/download/downloadPopup.jsp?from=plwindow&amp;uu=/upload/window/REPORT/LGH-WA21-028.pdf","50등급")</f>
        <v>50등급</v>
      </c>
      <c r="Q1347" s="5" t="str">
        <f>HYPERLINK("http://www.lghausys.co.kr/popup/rn/download/downloadPopup.jsp?from=plwindow&amp;uu=/upload/window/REPORT/LGH-WA21-028.pdf","360등급")</f>
        <v>360등급</v>
      </c>
      <c r="R1347" s="5" t="s">
        <v>19</v>
      </c>
      <c r="S1347" s="5" t="s">
        <v>19</v>
      </c>
      <c r="T1347" s="5" t="s">
        <v>19</v>
      </c>
      <c r="U1347" s="5" t="s">
        <v>19</v>
      </c>
      <c r="V1347" s="5" t="s">
        <v>19</v>
      </c>
      <c r="W1347" s="5" t="s">
        <v>152</v>
      </c>
      <c r="X1347"/>
    </row>
    <row r="1348" spans="1:24">
      <c r="A1348" t="s">
        <v>557</v>
      </c>
      <c r="B1348" t="s">
        <v>557</v>
      </c>
      <c r="C1348" t="s">
        <v>14</v>
      </c>
      <c r="D1348" t="s">
        <v>21</v>
      </c>
      <c r="E1348" t="s">
        <v>19</v>
      </c>
      <c r="F1348" t="s">
        <v>19</v>
      </c>
      <c r="G1348" t="s">
        <v>19</v>
      </c>
      <c r="H1348" t="s">
        <v>21</v>
      </c>
      <c r="I1348" t="s">
        <v>19</v>
      </c>
      <c r="J1348" t="s">
        <v>99</v>
      </c>
      <c r="K1348" s="21" t="s">
        <v>607</v>
      </c>
      <c r="L1348" s="5" t="s">
        <v>19</v>
      </c>
      <c r="M1348" s="5" t="s">
        <v>19</v>
      </c>
      <c r="N1348" s="5" t="s">
        <v>19</v>
      </c>
      <c r="O1348" s="5" t="s">
        <v>19</v>
      </c>
      <c r="P1348" s="5" t="s">
        <v>19</v>
      </c>
      <c r="Q1348" s="5" t="s">
        <v>19</v>
      </c>
      <c r="R1348" s="5" t="s">
        <v>19</v>
      </c>
      <c r="S1348" s="5" t="s">
        <v>19</v>
      </c>
      <c r="T1348" s="5" t="str">
        <f>HYPERLINK("http://www.lghausys.co.kr/popup/rn/download/downloadPopup.jsp?from=plwindow&amp;uu=/upload/window/REPORT/LGH-DA21-016.pdf","결로발생없음")</f>
        <v>결로발생없음</v>
      </c>
      <c r="U1348" s="5" t="s">
        <v>19</v>
      </c>
      <c r="V1348" s="5" t="s">
        <v>19</v>
      </c>
      <c r="W1348" s="5" t="s">
        <v>75</v>
      </c>
      <c r="X1348"/>
    </row>
    <row r="1349" spans="1:24">
      <c r="A1349" t="s">
        <v>60</v>
      </c>
      <c r="B1349" t="s">
        <v>60</v>
      </c>
      <c r="C1349" t="s">
        <v>14</v>
      </c>
      <c r="D1349" t="s">
        <v>68</v>
      </c>
      <c r="E1349" t="s">
        <v>19</v>
      </c>
      <c r="F1349" t="s">
        <v>19</v>
      </c>
      <c r="G1349" t="s">
        <v>19</v>
      </c>
      <c r="H1349" t="s">
        <v>66</v>
      </c>
      <c r="I1349" t="s">
        <v>19</v>
      </c>
      <c r="J1349" t="s">
        <v>97</v>
      </c>
      <c r="K1349" s="21" t="s">
        <v>607</v>
      </c>
      <c r="L1349" s="5" t="s">
        <v>19</v>
      </c>
      <c r="M1349" s="5" t="s">
        <v>19</v>
      </c>
      <c r="N1349" s="5" t="s">
        <v>19</v>
      </c>
      <c r="O1349" s="5" t="s">
        <v>19</v>
      </c>
      <c r="P1349" s="5" t="s">
        <v>19</v>
      </c>
      <c r="Q1349" s="5" t="s">
        <v>19</v>
      </c>
      <c r="R1349" s="5" t="s">
        <v>19</v>
      </c>
      <c r="S1349" s="5" t="s">
        <v>19</v>
      </c>
      <c r="T1349" s="5" t="str">
        <f>HYPERLINK("http://www.lghausys.co.kr/popup/rn/download/downloadPopup.jsp?from=plwindow&amp;uu=/upload/window/REPORT/LGH-DA21-018.pdf","결로발생없음")</f>
        <v>결로발생없음</v>
      </c>
      <c r="U1349" s="5" t="s">
        <v>19</v>
      </c>
      <c r="V1349" s="5" t="s">
        <v>19</v>
      </c>
      <c r="W1349" s="5" t="s">
        <v>75</v>
      </c>
      <c r="X1349"/>
    </row>
    <row r="1350" spans="1:24">
      <c r="A1350" t="s">
        <v>73</v>
      </c>
      <c r="B1350" t="s">
        <v>73</v>
      </c>
      <c r="C1350" t="s">
        <v>14</v>
      </c>
      <c r="D1350" t="s">
        <v>28</v>
      </c>
      <c r="E1350" t="s">
        <v>19</v>
      </c>
      <c r="F1350" t="s">
        <v>19</v>
      </c>
      <c r="G1350" t="s">
        <v>19</v>
      </c>
      <c r="H1350" t="s">
        <v>28</v>
      </c>
      <c r="I1350" t="s">
        <v>19</v>
      </c>
      <c r="J1350" t="s">
        <v>74</v>
      </c>
      <c r="K1350" s="21" t="s">
        <v>607</v>
      </c>
      <c r="L1350" s="5" t="s">
        <v>19</v>
      </c>
      <c r="M1350" s="5" t="s">
        <v>19</v>
      </c>
      <c r="N1350" s="5" t="s">
        <v>19</v>
      </c>
      <c r="O1350" s="5" t="s">
        <v>19</v>
      </c>
      <c r="P1350" s="5" t="s">
        <v>19</v>
      </c>
      <c r="Q1350" s="5" t="s">
        <v>19</v>
      </c>
      <c r="R1350" s="5" t="s">
        <v>19</v>
      </c>
      <c r="S1350" s="5" t="s">
        <v>19</v>
      </c>
      <c r="T1350" s="5" t="str">
        <f>HYPERLINK("http://www.lghausys.co.kr/popup/rn/download/downloadPopup.jsp?from=plwindow&amp;uu=/upload/window/REPORT/LGH-DA21-021.pdf","결로발생없음")</f>
        <v>결로발생없음</v>
      </c>
      <c r="U1350" s="5" t="s">
        <v>19</v>
      </c>
      <c r="V1350" s="5" t="s">
        <v>19</v>
      </c>
      <c r="W1350" s="5" t="s">
        <v>75</v>
      </c>
      <c r="X1350"/>
    </row>
    <row r="1351" spans="1:24">
      <c r="A1351" t="s">
        <v>73</v>
      </c>
      <c r="B1351" t="s">
        <v>73</v>
      </c>
      <c r="C1351" t="s">
        <v>14</v>
      </c>
      <c r="D1351" t="s">
        <v>28</v>
      </c>
      <c r="E1351" t="s">
        <v>19</v>
      </c>
      <c r="F1351" t="s">
        <v>19</v>
      </c>
      <c r="G1351" t="s">
        <v>19</v>
      </c>
      <c r="H1351" t="s">
        <v>28</v>
      </c>
      <c r="I1351" t="s">
        <v>19</v>
      </c>
      <c r="J1351" t="s">
        <v>97</v>
      </c>
      <c r="K1351" s="21" t="s">
        <v>607</v>
      </c>
      <c r="L1351" s="5" t="s">
        <v>19</v>
      </c>
      <c r="M1351" s="5" t="s">
        <v>19</v>
      </c>
      <c r="N1351" s="5" t="s">
        <v>19</v>
      </c>
      <c r="O1351" s="5" t="s">
        <v>19</v>
      </c>
      <c r="P1351" s="5" t="s">
        <v>19</v>
      </c>
      <c r="Q1351" s="5" t="s">
        <v>19</v>
      </c>
      <c r="R1351" s="5" t="s">
        <v>19</v>
      </c>
      <c r="S1351" s="5" t="s">
        <v>19</v>
      </c>
      <c r="T1351" s="5" t="str">
        <f>HYPERLINK("http://www.lghausys.co.kr/popup/rn/download/downloadPopup.jsp?from=plwindow&amp;uu=/upload/window/REPORT/LGH-DA21-022.pdf","결로발생없음")</f>
        <v>결로발생없음</v>
      </c>
      <c r="U1351" s="5" t="s">
        <v>19</v>
      </c>
      <c r="V1351" s="5" t="s">
        <v>19</v>
      </c>
      <c r="W1351" s="5" t="s">
        <v>75</v>
      </c>
      <c r="X1351"/>
    </row>
    <row r="1352" spans="1:24">
      <c r="A1352" t="s">
        <v>202</v>
      </c>
      <c r="B1352" t="s">
        <v>202</v>
      </c>
      <c r="C1352" t="s">
        <v>31</v>
      </c>
      <c r="D1352" t="s">
        <v>68</v>
      </c>
      <c r="E1352" t="s">
        <v>19</v>
      </c>
      <c r="F1352" t="s">
        <v>19</v>
      </c>
      <c r="G1352" t="s">
        <v>19</v>
      </c>
      <c r="H1352" t="s">
        <v>19</v>
      </c>
      <c r="I1352" t="s">
        <v>19</v>
      </c>
      <c r="J1352" t="s">
        <v>97</v>
      </c>
      <c r="K1352" s="21" t="s">
        <v>607</v>
      </c>
      <c r="L1352" s="5" t="s">
        <v>19</v>
      </c>
      <c r="M1352" s="5" t="s">
        <v>19</v>
      </c>
      <c r="N1352" s="5" t="s">
        <v>19</v>
      </c>
      <c r="O1352" s="5" t="str">
        <f>HYPERLINK("http://www.lghausys.co.kr/popup/rn/download/downloadPopup.jsp?from=plwindow&amp;uu=/upload/window/REPORT/LGH-WA21-034.pdf","2등급")</f>
        <v>2등급</v>
      </c>
      <c r="P1352" s="5" t="s">
        <v>19</v>
      </c>
      <c r="Q1352" s="5" t="s">
        <v>19</v>
      </c>
      <c r="R1352" s="5" t="s">
        <v>19</v>
      </c>
      <c r="S1352" s="5" t="s">
        <v>19</v>
      </c>
      <c r="T1352" s="5" t="s">
        <v>19</v>
      </c>
      <c r="U1352" s="5" t="s">
        <v>19</v>
      </c>
      <c r="V1352" s="5" t="s">
        <v>19</v>
      </c>
      <c r="W1352" s="5" t="s">
        <v>152</v>
      </c>
      <c r="X1352"/>
    </row>
    <row r="1353" spans="1:24">
      <c r="A1353" t="s">
        <v>60</v>
      </c>
      <c r="B1353" t="s">
        <v>60</v>
      </c>
      <c r="C1353" t="s">
        <v>31</v>
      </c>
      <c r="D1353" t="s">
        <v>68</v>
      </c>
      <c r="E1353" t="s">
        <v>19</v>
      </c>
      <c r="F1353" t="s">
        <v>19</v>
      </c>
      <c r="G1353" t="s">
        <v>19</v>
      </c>
      <c r="H1353" t="s">
        <v>66</v>
      </c>
      <c r="I1353" t="s">
        <v>19</v>
      </c>
      <c r="J1353" t="s">
        <v>97</v>
      </c>
      <c r="K1353" s="21" t="s">
        <v>607</v>
      </c>
      <c r="L1353" s="5" t="s">
        <v>19</v>
      </c>
      <c r="M1353" s="5" t="s">
        <v>19</v>
      </c>
      <c r="N1353" s="5" t="s">
        <v>19</v>
      </c>
      <c r="O1353" s="5" t="str">
        <f>HYPERLINK("http://www.lghausys.co.kr/popup/rn/download/downloadPopup.jsp?from=plwindow&amp;uu=/upload/window/REPORT/LGH-WA21-035.pdf","1등급")</f>
        <v>1등급</v>
      </c>
      <c r="P1353" s="5" t="s">
        <v>19</v>
      </c>
      <c r="Q1353" s="5" t="s">
        <v>19</v>
      </c>
      <c r="R1353" s="5" t="s">
        <v>19</v>
      </c>
      <c r="S1353" s="5" t="s">
        <v>19</v>
      </c>
      <c r="T1353" s="5" t="s">
        <v>19</v>
      </c>
      <c r="U1353" s="5" t="s">
        <v>19</v>
      </c>
      <c r="V1353" s="5" t="s">
        <v>19</v>
      </c>
      <c r="W1353" s="5" t="s">
        <v>152</v>
      </c>
      <c r="X1353"/>
    </row>
    <row r="1354" spans="1:24">
      <c r="A1354" t="s">
        <v>252</v>
      </c>
      <c r="B1354" t="s">
        <v>252</v>
      </c>
      <c r="C1354" t="s">
        <v>31</v>
      </c>
      <c r="D1354" t="s">
        <v>204</v>
      </c>
      <c r="E1354" t="s">
        <v>19</v>
      </c>
      <c r="F1354" t="s">
        <v>68</v>
      </c>
      <c r="G1354" t="s">
        <v>182</v>
      </c>
      <c r="H1354" t="s">
        <v>19</v>
      </c>
      <c r="I1354" t="s">
        <v>19</v>
      </c>
      <c r="J1354" t="s">
        <v>97</v>
      </c>
      <c r="K1354" s="21" t="s">
        <v>607</v>
      </c>
      <c r="L1354" s="5" t="s">
        <v>19</v>
      </c>
      <c r="M1354" s="5" t="s">
        <v>19</v>
      </c>
      <c r="N1354" s="5" t="s">
        <v>19</v>
      </c>
      <c r="O1354" s="5" t="str">
        <f>HYPERLINK("http://www.lghausys.co.kr/popup/rn/download/downloadPopup.jsp?from=plwindow&amp;uu=/upload/window/REPORT/LGH-WA21-036.pdf","2등급")</f>
        <v>2등급</v>
      </c>
      <c r="P1354" s="5" t="s">
        <v>19</v>
      </c>
      <c r="Q1354" s="5" t="s">
        <v>19</v>
      </c>
      <c r="R1354" s="5" t="s">
        <v>19</v>
      </c>
      <c r="S1354" s="5" t="s">
        <v>19</v>
      </c>
      <c r="T1354" s="5" t="s">
        <v>19</v>
      </c>
      <c r="U1354" s="5" t="s">
        <v>19</v>
      </c>
      <c r="V1354" s="5" t="s">
        <v>19</v>
      </c>
      <c r="W1354" s="5" t="s">
        <v>152</v>
      </c>
      <c r="X1354"/>
    </row>
    <row r="1355" spans="1:24">
      <c r="A1355" t="s">
        <v>83</v>
      </c>
      <c r="B1355" t="s">
        <v>83</v>
      </c>
      <c r="C1355" t="s">
        <v>31</v>
      </c>
      <c r="D1355" t="s">
        <v>66</v>
      </c>
      <c r="E1355" t="s">
        <v>19</v>
      </c>
      <c r="F1355" t="s">
        <v>19</v>
      </c>
      <c r="G1355" t="s">
        <v>19</v>
      </c>
      <c r="H1355" t="s">
        <v>19</v>
      </c>
      <c r="I1355" t="s">
        <v>19</v>
      </c>
      <c r="J1355" t="s">
        <v>97</v>
      </c>
      <c r="K1355" s="21" t="s">
        <v>607</v>
      </c>
      <c r="L1355" s="5" t="s">
        <v>19</v>
      </c>
      <c r="M1355" s="5" t="s">
        <v>19</v>
      </c>
      <c r="N1355" s="5" t="s">
        <v>19</v>
      </c>
      <c r="O1355" s="5" t="str">
        <f>HYPERLINK("http://www.lghausys.co.kr/popup/rn/download/downloadPopup.jsp?from=plwindow&amp;uu=/upload/window/REPORT/LGH-WA21-037.pdf","2등급")</f>
        <v>2등급</v>
      </c>
      <c r="P1355" s="5" t="s">
        <v>19</v>
      </c>
      <c r="Q1355" s="5" t="s">
        <v>19</v>
      </c>
      <c r="R1355" s="5" t="s">
        <v>19</v>
      </c>
      <c r="S1355" s="5" t="s">
        <v>19</v>
      </c>
      <c r="T1355" s="5" t="s">
        <v>19</v>
      </c>
      <c r="U1355" s="5" t="s">
        <v>19</v>
      </c>
      <c r="V1355" s="5" t="s">
        <v>19</v>
      </c>
      <c r="W1355" s="5" t="s">
        <v>152</v>
      </c>
      <c r="X1355"/>
    </row>
    <row r="1356" spans="1:24">
      <c r="A1356" t="s">
        <v>240</v>
      </c>
      <c r="B1356" t="s">
        <v>240</v>
      </c>
      <c r="C1356" t="s">
        <v>31</v>
      </c>
      <c r="D1356" t="s">
        <v>68</v>
      </c>
      <c r="E1356" t="s">
        <v>19</v>
      </c>
      <c r="F1356" t="s">
        <v>19</v>
      </c>
      <c r="G1356" t="s">
        <v>19</v>
      </c>
      <c r="H1356" t="s">
        <v>66</v>
      </c>
      <c r="I1356" t="s">
        <v>19</v>
      </c>
      <c r="J1356" t="s">
        <v>97</v>
      </c>
      <c r="K1356" s="21" t="s">
        <v>607</v>
      </c>
      <c r="L1356" s="5" t="s">
        <v>19</v>
      </c>
      <c r="M1356" s="5" t="s">
        <v>19</v>
      </c>
      <c r="N1356" s="5" t="s">
        <v>19</v>
      </c>
      <c r="O1356" s="5" t="s">
        <v>19</v>
      </c>
      <c r="P1356" s="5" t="str">
        <f>HYPERLINK("http://www.lghausys.co.kr/popup/rn/download/downloadPopup.jsp?from=plwindow&amp;uu=/upload/window/REPORT/LGH-WA21-038.pdf","50등급")</f>
        <v>50등급</v>
      </c>
      <c r="Q1356" s="5" t="str">
        <f>HYPERLINK("http://www.lghausys.co.kr/popup/rn/download/downloadPopup.jsp?from=plwindow&amp;uu=/upload/window/REPORT/LGH-WA21-038.pdf","360등급")</f>
        <v>360등급</v>
      </c>
      <c r="R1356" s="5" t="s">
        <v>19</v>
      </c>
      <c r="S1356" s="5" t="s">
        <v>19</v>
      </c>
      <c r="T1356" s="5" t="s">
        <v>19</v>
      </c>
      <c r="U1356" s="5" t="s">
        <v>19</v>
      </c>
      <c r="V1356" s="5" t="s">
        <v>19</v>
      </c>
      <c r="W1356" s="5" t="s">
        <v>152</v>
      </c>
      <c r="X1356"/>
    </row>
    <row r="1357" spans="1:24">
      <c r="A1357" t="s">
        <v>202</v>
      </c>
      <c r="B1357" t="s">
        <v>202</v>
      </c>
      <c r="C1357" t="s">
        <v>31</v>
      </c>
      <c r="D1357" t="s">
        <v>68</v>
      </c>
      <c r="E1357" t="s">
        <v>19</v>
      </c>
      <c r="F1357" t="s">
        <v>19</v>
      </c>
      <c r="G1357" t="s">
        <v>19</v>
      </c>
      <c r="H1357" t="s">
        <v>19</v>
      </c>
      <c r="I1357" t="s">
        <v>19</v>
      </c>
      <c r="J1357" t="s">
        <v>97</v>
      </c>
      <c r="K1357" s="21" t="s">
        <v>607</v>
      </c>
      <c r="L1357" s="5" t="s">
        <v>19</v>
      </c>
      <c r="M1357" s="5" t="s">
        <v>19</v>
      </c>
      <c r="N1357" s="5" t="s">
        <v>19</v>
      </c>
      <c r="O1357" s="5" t="s">
        <v>19</v>
      </c>
      <c r="P1357" s="5" t="str">
        <f>HYPERLINK("http://www.lghausys.co.kr/popup/rn/download/downloadPopup.jsp?from=plwindow&amp;uu=/upload/window/REPORT/LGH-WA21-039.pdf","15등급")</f>
        <v>15등급</v>
      </c>
      <c r="Q1357" s="5" t="str">
        <f>HYPERLINK("http://www.lghausys.co.kr/popup/rn/download/downloadPopup.jsp?from=plwindow&amp;uu=/upload/window/REPORT/LGH-WA21-039.pdf","240등급")</f>
        <v>240등급</v>
      </c>
      <c r="R1357" s="5" t="s">
        <v>19</v>
      </c>
      <c r="S1357" s="5" t="s">
        <v>19</v>
      </c>
      <c r="T1357" s="5" t="s">
        <v>19</v>
      </c>
      <c r="U1357" s="5" t="s">
        <v>19</v>
      </c>
      <c r="V1357" s="5" t="s">
        <v>19</v>
      </c>
      <c r="W1357" s="5" t="s">
        <v>152</v>
      </c>
      <c r="X1357"/>
    </row>
    <row r="1358" spans="1:24">
      <c r="A1358" t="s">
        <v>60</v>
      </c>
      <c r="B1358" t="s">
        <v>60</v>
      </c>
      <c r="C1358" t="s">
        <v>31</v>
      </c>
      <c r="D1358" t="s">
        <v>68</v>
      </c>
      <c r="E1358" t="s">
        <v>19</v>
      </c>
      <c r="F1358" t="s">
        <v>19</v>
      </c>
      <c r="G1358" t="s">
        <v>19</v>
      </c>
      <c r="H1358" t="s">
        <v>66</v>
      </c>
      <c r="I1358" t="s">
        <v>19</v>
      </c>
      <c r="J1358" t="s">
        <v>97</v>
      </c>
      <c r="K1358" s="21" t="s">
        <v>607</v>
      </c>
      <c r="L1358" s="5" t="s">
        <v>19</v>
      </c>
      <c r="M1358" s="5" t="s">
        <v>19</v>
      </c>
      <c r="N1358" s="5" t="s">
        <v>19</v>
      </c>
      <c r="O1358" s="5" t="s">
        <v>19</v>
      </c>
      <c r="P1358" s="5" t="str">
        <f>HYPERLINK("http://www.lghausys.co.kr/popup/rn/download/downloadPopup.jsp?from=plwindow&amp;uu=/upload/window/REPORT/LGH-WA21-040.pdf","50등급")</f>
        <v>50등급</v>
      </c>
      <c r="Q1358" s="5" t="str">
        <f>HYPERLINK("http://www.lghausys.co.kr/popup/rn/download/downloadPopup.jsp?from=plwindow&amp;uu=/upload/window/REPORT/LGH-WA21-040.pdf","360등급")</f>
        <v>360등급</v>
      </c>
      <c r="R1358" s="5" t="s">
        <v>19</v>
      </c>
      <c r="S1358" s="5" t="s">
        <v>19</v>
      </c>
      <c r="T1358" s="5" t="s">
        <v>19</v>
      </c>
      <c r="U1358" s="5" t="s">
        <v>19</v>
      </c>
      <c r="V1358" s="5" t="s">
        <v>19</v>
      </c>
      <c r="W1358" s="5" t="s">
        <v>152</v>
      </c>
      <c r="X1358"/>
    </row>
    <row r="1359" spans="1:24">
      <c r="A1359" t="s">
        <v>252</v>
      </c>
      <c r="B1359" t="s">
        <v>252</v>
      </c>
      <c r="C1359" t="s">
        <v>31</v>
      </c>
      <c r="D1359" t="s">
        <v>204</v>
      </c>
      <c r="E1359" t="s">
        <v>19</v>
      </c>
      <c r="F1359" t="s">
        <v>68</v>
      </c>
      <c r="G1359" t="s">
        <v>182</v>
      </c>
      <c r="H1359" t="s">
        <v>19</v>
      </c>
      <c r="I1359" t="s">
        <v>19</v>
      </c>
      <c r="J1359" t="s">
        <v>97</v>
      </c>
      <c r="K1359" s="21" t="s">
        <v>607</v>
      </c>
      <c r="L1359" s="5" t="s">
        <v>19</v>
      </c>
      <c r="M1359" s="5" t="s">
        <v>19</v>
      </c>
      <c r="N1359" s="5" t="s">
        <v>19</v>
      </c>
      <c r="O1359" s="5" t="s">
        <v>19</v>
      </c>
      <c r="P1359" s="5" t="str">
        <f>HYPERLINK("http://www.lghausys.co.kr/popup/rn/download/downloadPopup.jsp?from=plwindow&amp;uu=/upload/window/REPORT/LGH-WA21-041.pdf","15등급")</f>
        <v>15등급</v>
      </c>
      <c r="Q1359" s="5" t="str">
        <f>HYPERLINK("http://www.lghausys.co.kr/popup/rn/download/downloadPopup.jsp?from=plwindow&amp;uu=/upload/window/REPORT/LGH-WA21-041.pdf","240등급")</f>
        <v>240등급</v>
      </c>
      <c r="R1359" s="5" t="s">
        <v>19</v>
      </c>
      <c r="S1359" s="5" t="s">
        <v>19</v>
      </c>
      <c r="T1359" s="5" t="s">
        <v>19</v>
      </c>
      <c r="U1359" s="5" t="s">
        <v>19</v>
      </c>
      <c r="V1359" s="5" t="s">
        <v>19</v>
      </c>
      <c r="W1359" s="5" t="s">
        <v>152</v>
      </c>
      <c r="X1359"/>
    </row>
    <row r="1360" spans="1:24">
      <c r="A1360" t="s">
        <v>130</v>
      </c>
      <c r="B1360" t="s">
        <v>130</v>
      </c>
      <c r="C1360" t="s">
        <v>31</v>
      </c>
      <c r="D1360" t="s">
        <v>66</v>
      </c>
      <c r="E1360" t="s">
        <v>19</v>
      </c>
      <c r="F1360" t="s">
        <v>19</v>
      </c>
      <c r="G1360" t="s">
        <v>19</v>
      </c>
      <c r="H1360" t="s">
        <v>19</v>
      </c>
      <c r="I1360" t="s">
        <v>19</v>
      </c>
      <c r="J1360" t="s">
        <v>97</v>
      </c>
      <c r="K1360" s="21" t="s">
        <v>607</v>
      </c>
      <c r="L1360" s="5" t="s">
        <v>19</v>
      </c>
      <c r="M1360" s="5" t="s">
        <v>19</v>
      </c>
      <c r="N1360" s="5" t="s">
        <v>19</v>
      </c>
      <c r="O1360" s="5" t="str">
        <f>HYPERLINK("http://www.lghausys.co.kr/popup/rn/download/downloadPopup.jsp?from=plwindow&amp;uu=/upload/window/REPORT/LGH-WA21-042.pdf","2등급")</f>
        <v>2등급</v>
      </c>
      <c r="P1360" s="5" t="str">
        <f>HYPERLINK("http://www.lghausys.co.kr/popup/rn/download/downloadPopup.jsp?from=plwindow&amp;uu=/upload/window/REPORT/LGH-WA21-042.pdf","15등급")</f>
        <v>15등급</v>
      </c>
      <c r="Q1360" s="5" t="str">
        <f>HYPERLINK("http://www.lghausys.co.kr/popup/rn/download/downloadPopup.jsp?from=plwindow&amp;uu=/upload/window/REPORT/LGH-WA21-042.pdf","240등급")</f>
        <v>240등급</v>
      </c>
      <c r="R1360" s="5" t="s">
        <v>19</v>
      </c>
      <c r="S1360" s="5" t="s">
        <v>19</v>
      </c>
      <c r="T1360" s="5" t="s">
        <v>19</v>
      </c>
      <c r="U1360" s="5" t="s">
        <v>19</v>
      </c>
      <c r="V1360" s="5" t="s">
        <v>19</v>
      </c>
      <c r="W1360" s="5" t="s">
        <v>152</v>
      </c>
      <c r="X1360"/>
    </row>
    <row r="1361" spans="1:24">
      <c r="A1361" t="s">
        <v>557</v>
      </c>
      <c r="B1361" t="s">
        <v>557</v>
      </c>
      <c r="C1361" t="s">
        <v>34</v>
      </c>
      <c r="D1361" t="s">
        <v>21</v>
      </c>
      <c r="E1361" t="s">
        <v>19</v>
      </c>
      <c r="F1361" t="s">
        <v>19</v>
      </c>
      <c r="G1361" t="s">
        <v>19</v>
      </c>
      <c r="H1361" t="s">
        <v>21</v>
      </c>
      <c r="I1361" t="s">
        <v>19</v>
      </c>
      <c r="J1361" t="s">
        <v>99</v>
      </c>
      <c r="K1361" s="21" t="s">
        <v>607</v>
      </c>
      <c r="L1361" s="5" t="s">
        <v>19</v>
      </c>
      <c r="M1361" s="5" t="s">
        <v>19</v>
      </c>
      <c r="N1361" s="5" t="str">
        <f>HYPERLINK("http://www.lghausys.co.kr/popup/rn/download/downloadPopup.jsp?from=plwindow&amp;uu=/upload/window/REPORT/LGH-TA21-041.pdf","0.738")</f>
        <v>0.738</v>
      </c>
      <c r="O1361" s="5" t="s">
        <v>19</v>
      </c>
      <c r="P1361" s="5" t="s">
        <v>19</v>
      </c>
      <c r="Q1361" s="5" t="s">
        <v>19</v>
      </c>
      <c r="R1361" s="5" t="s">
        <v>19</v>
      </c>
      <c r="S1361" s="5" t="s">
        <v>19</v>
      </c>
      <c r="T1361" s="5" t="s">
        <v>19</v>
      </c>
      <c r="U1361" s="5" t="s">
        <v>19</v>
      </c>
      <c r="V1361" s="5" t="s">
        <v>19</v>
      </c>
      <c r="W1361" s="5" t="s">
        <v>75</v>
      </c>
      <c r="X1361"/>
    </row>
    <row r="1362" spans="1:24">
      <c r="A1362" t="s">
        <v>222</v>
      </c>
      <c r="B1362" t="s">
        <v>222</v>
      </c>
      <c r="C1362" t="s">
        <v>34</v>
      </c>
      <c r="D1362" t="s">
        <v>25</v>
      </c>
      <c r="E1362" t="s">
        <v>497</v>
      </c>
      <c r="F1362" t="s">
        <v>19</v>
      </c>
      <c r="G1362" t="s">
        <v>19</v>
      </c>
      <c r="H1362" t="s">
        <v>28</v>
      </c>
      <c r="I1362" t="s">
        <v>19</v>
      </c>
      <c r="J1362" t="s">
        <v>74</v>
      </c>
      <c r="K1362" s="21" t="s">
        <v>607</v>
      </c>
      <c r="L1362" s="5" t="s">
        <v>19</v>
      </c>
      <c r="M1362" s="5" t="s">
        <v>19</v>
      </c>
      <c r="N1362" s="5" t="str">
        <f>HYPERLINK("http://www.lghausys.co.kr/popup/rn/download/downloadPopup.jsp?from=plwindow&amp;uu=/upload/window/REPORT/LGH-TA21-042.pdf","1.0009")</f>
        <v>1.0009</v>
      </c>
      <c r="O1362" s="5" t="s">
        <v>19</v>
      </c>
      <c r="P1362" s="5" t="s">
        <v>19</v>
      </c>
      <c r="Q1362" s="5" t="s">
        <v>19</v>
      </c>
      <c r="R1362" s="5" t="s">
        <v>19</v>
      </c>
      <c r="S1362" s="5" t="s">
        <v>19</v>
      </c>
      <c r="T1362" s="5" t="s">
        <v>19</v>
      </c>
      <c r="U1362" s="5" t="s">
        <v>19</v>
      </c>
      <c r="V1362" s="5" t="s">
        <v>19</v>
      </c>
      <c r="W1362" s="5" t="s">
        <v>75</v>
      </c>
      <c r="X1362"/>
    </row>
    <row r="1363" spans="1:24">
      <c r="A1363" t="s">
        <v>27</v>
      </c>
      <c r="B1363" t="s">
        <v>27</v>
      </c>
      <c r="C1363" t="s">
        <v>34</v>
      </c>
      <c r="D1363" t="s">
        <v>25</v>
      </c>
      <c r="E1363" t="s">
        <v>178</v>
      </c>
      <c r="F1363" t="s">
        <v>19</v>
      </c>
      <c r="G1363" t="s">
        <v>19</v>
      </c>
      <c r="H1363" t="s">
        <v>25</v>
      </c>
      <c r="I1363" t="s">
        <v>19</v>
      </c>
      <c r="J1363" t="s">
        <v>99</v>
      </c>
      <c r="K1363" s="21" t="s">
        <v>607</v>
      </c>
      <c r="L1363" s="5" t="s">
        <v>19</v>
      </c>
      <c r="M1363" s="5" t="s">
        <v>19</v>
      </c>
      <c r="N1363" s="5" t="str">
        <f>HYPERLINK("http://www.lghausys.co.kr/popup/rn/download/downloadPopup.jsp?from=plwindow&amp;uu=/upload/window/REPORT/LGH-TA21-043.pdf","1.182")</f>
        <v>1.182</v>
      </c>
      <c r="O1363" s="5" t="s">
        <v>19</v>
      </c>
      <c r="P1363" s="5" t="s">
        <v>19</v>
      </c>
      <c r="Q1363" s="5" t="s">
        <v>19</v>
      </c>
      <c r="R1363" s="5" t="s">
        <v>19</v>
      </c>
      <c r="S1363" s="5" t="s">
        <v>19</v>
      </c>
      <c r="T1363" s="5" t="s">
        <v>19</v>
      </c>
      <c r="U1363" s="5" t="s">
        <v>19</v>
      </c>
      <c r="V1363" s="5" t="s">
        <v>19</v>
      </c>
      <c r="W1363" s="5" t="s">
        <v>75</v>
      </c>
      <c r="X1363"/>
    </row>
    <row r="1364" spans="1:24">
      <c r="A1364" t="s">
        <v>78</v>
      </c>
      <c r="B1364" t="s">
        <v>78</v>
      </c>
      <c r="C1364" t="s">
        <v>34</v>
      </c>
      <c r="D1364" t="s">
        <v>28</v>
      </c>
      <c r="E1364" t="s">
        <v>558</v>
      </c>
      <c r="F1364" t="s">
        <v>19</v>
      </c>
      <c r="G1364" t="s">
        <v>19</v>
      </c>
      <c r="H1364" t="s">
        <v>19</v>
      </c>
      <c r="I1364" t="s">
        <v>19</v>
      </c>
      <c r="J1364" t="s">
        <v>74</v>
      </c>
      <c r="K1364" s="21" t="s">
        <v>607</v>
      </c>
      <c r="L1364" s="5" t="s">
        <v>19</v>
      </c>
      <c r="M1364" s="5" t="s">
        <v>19</v>
      </c>
      <c r="N1364" s="5" t="str">
        <f>HYPERLINK("http://www.lghausys.co.kr/popup/rn/download/downloadPopup.jsp?from=plwindow&amp;uu=/upload/window/REPORT/LGH-TA21-044.pdf","2.1509")</f>
        <v>2.1509</v>
      </c>
      <c r="O1364" s="5" t="s">
        <v>19</v>
      </c>
      <c r="P1364" s="5" t="s">
        <v>19</v>
      </c>
      <c r="Q1364" s="5" t="s">
        <v>19</v>
      </c>
      <c r="R1364" s="5" t="s">
        <v>19</v>
      </c>
      <c r="S1364" s="5" t="s">
        <v>19</v>
      </c>
      <c r="T1364" s="5" t="s">
        <v>19</v>
      </c>
      <c r="U1364" s="5" t="s">
        <v>19</v>
      </c>
      <c r="V1364" s="5" t="s">
        <v>19</v>
      </c>
      <c r="W1364" s="5" t="s">
        <v>75</v>
      </c>
      <c r="X1364"/>
    </row>
    <row r="1365" spans="1:24">
      <c r="A1365" t="s">
        <v>174</v>
      </c>
      <c r="B1365" t="s">
        <v>174</v>
      </c>
      <c r="C1365" t="s">
        <v>34</v>
      </c>
      <c r="D1365" t="s">
        <v>25</v>
      </c>
      <c r="E1365" t="s">
        <v>19</v>
      </c>
      <c r="F1365" t="s">
        <v>19</v>
      </c>
      <c r="G1365" t="s">
        <v>19</v>
      </c>
      <c r="H1365" t="s">
        <v>25</v>
      </c>
      <c r="I1365" t="s">
        <v>19</v>
      </c>
      <c r="J1365" t="s">
        <v>74</v>
      </c>
      <c r="K1365" s="21" t="s">
        <v>607</v>
      </c>
      <c r="L1365" s="5" t="s">
        <v>19</v>
      </c>
      <c r="M1365" s="5" t="s">
        <v>19</v>
      </c>
      <c r="N1365" s="5" t="str">
        <f>HYPERLINK("http://www.lghausys.co.kr/popup/rn/download/downloadPopup.jsp?from=plwindow&amp;uu=/upload/window/REPORT/LGH-TA21-045.pdf","1.292")</f>
        <v>1.292</v>
      </c>
      <c r="O1365" s="5" t="s">
        <v>19</v>
      </c>
      <c r="P1365" s="5" t="s">
        <v>19</v>
      </c>
      <c r="Q1365" s="5" t="s">
        <v>19</v>
      </c>
      <c r="R1365" s="5" t="s">
        <v>19</v>
      </c>
      <c r="S1365" s="5" t="s">
        <v>19</v>
      </c>
      <c r="T1365" s="5" t="s">
        <v>19</v>
      </c>
      <c r="U1365" s="5" t="s">
        <v>19</v>
      </c>
      <c r="V1365" s="5" t="s">
        <v>19</v>
      </c>
      <c r="W1365" s="5" t="s">
        <v>75</v>
      </c>
      <c r="X1365"/>
    </row>
    <row r="1366" spans="1:24">
      <c r="A1366" t="s">
        <v>559</v>
      </c>
      <c r="B1366" t="s">
        <v>559</v>
      </c>
      <c r="C1366" t="s">
        <v>34</v>
      </c>
      <c r="D1366" t="s">
        <v>560</v>
      </c>
      <c r="E1366" t="s">
        <v>561</v>
      </c>
      <c r="F1366" t="s">
        <v>19</v>
      </c>
      <c r="G1366" t="s">
        <v>19</v>
      </c>
      <c r="H1366" t="s">
        <v>19</v>
      </c>
      <c r="I1366" t="s">
        <v>19</v>
      </c>
      <c r="J1366" t="s">
        <v>97</v>
      </c>
      <c r="K1366" s="21" t="s">
        <v>607</v>
      </c>
      <c r="L1366" s="5" t="s">
        <v>19</v>
      </c>
      <c r="M1366" s="5" t="s">
        <v>19</v>
      </c>
      <c r="N1366" s="5" t="str">
        <f>HYPERLINK("http://www.lghausys.co.kr/popup/rn/download/downloadPopup.jsp?from=plwindow&amp;uu=/upload/window/REPORT/LGH-TA21-048.pdf","2.088")</f>
        <v>2.088</v>
      </c>
      <c r="O1366" s="5" t="s">
        <v>19</v>
      </c>
      <c r="P1366" s="5" t="s">
        <v>19</v>
      </c>
      <c r="Q1366" s="5" t="s">
        <v>19</v>
      </c>
      <c r="R1366" s="5" t="s">
        <v>19</v>
      </c>
      <c r="S1366" s="5" t="s">
        <v>19</v>
      </c>
      <c r="T1366" s="5" t="s">
        <v>19</v>
      </c>
      <c r="U1366" s="5" t="s">
        <v>19</v>
      </c>
      <c r="V1366" s="5" t="s">
        <v>19</v>
      </c>
      <c r="W1366" s="5" t="s">
        <v>75</v>
      </c>
      <c r="X1366"/>
    </row>
    <row r="1367" spans="1:24">
      <c r="A1367" t="s">
        <v>562</v>
      </c>
      <c r="B1367" t="s">
        <v>562</v>
      </c>
      <c r="C1367" t="s">
        <v>34</v>
      </c>
      <c r="D1367" t="s">
        <v>560</v>
      </c>
      <c r="E1367" t="s">
        <v>561</v>
      </c>
      <c r="F1367" t="s">
        <v>19</v>
      </c>
      <c r="G1367" t="s">
        <v>19</v>
      </c>
      <c r="H1367" t="s">
        <v>28</v>
      </c>
      <c r="I1367" t="s">
        <v>19</v>
      </c>
      <c r="J1367" t="s">
        <v>74</v>
      </c>
      <c r="K1367" s="21" t="s">
        <v>607</v>
      </c>
      <c r="L1367" s="5" t="s">
        <v>19</v>
      </c>
      <c r="M1367" s="5" t="s">
        <v>19</v>
      </c>
      <c r="N1367" s="5" t="str">
        <f>HYPERLINK("http://www.lghausys.co.kr/popup/rn/download/downloadPopup.jsp?from=plwindow&amp;uu=/upload/window/REPORT/LGH-TA21-049.pdf","0.847")</f>
        <v>0.847</v>
      </c>
      <c r="O1367" s="5" t="s">
        <v>19</v>
      </c>
      <c r="P1367" s="5" t="s">
        <v>19</v>
      </c>
      <c r="Q1367" s="5" t="s">
        <v>19</v>
      </c>
      <c r="R1367" s="5" t="s">
        <v>19</v>
      </c>
      <c r="S1367" s="5" t="s">
        <v>19</v>
      </c>
      <c r="T1367" s="5" t="s">
        <v>19</v>
      </c>
      <c r="U1367" s="5" t="s">
        <v>19</v>
      </c>
      <c r="V1367" s="5" t="s">
        <v>19</v>
      </c>
      <c r="W1367" s="5" t="s">
        <v>75</v>
      </c>
      <c r="X1367"/>
    </row>
    <row r="1368" spans="1:24">
      <c r="A1368" t="s">
        <v>563</v>
      </c>
      <c r="B1368" t="s">
        <v>563</v>
      </c>
      <c r="C1368" t="s">
        <v>34</v>
      </c>
      <c r="D1368" t="s">
        <v>25</v>
      </c>
      <c r="E1368" t="s">
        <v>19</v>
      </c>
      <c r="F1368" t="s">
        <v>19</v>
      </c>
      <c r="G1368" t="s">
        <v>19</v>
      </c>
      <c r="H1368" t="s">
        <v>25</v>
      </c>
      <c r="I1368" t="s">
        <v>19</v>
      </c>
      <c r="J1368" t="s">
        <v>74</v>
      </c>
      <c r="K1368" s="21" t="s">
        <v>607</v>
      </c>
      <c r="L1368" s="5" t="s">
        <v>19</v>
      </c>
      <c r="M1368" s="5" t="s">
        <v>19</v>
      </c>
      <c r="N1368" s="5" t="str">
        <f>HYPERLINK("http://www.lghausys.co.kr/popup/rn/download/downloadPopup.jsp?from=plwindow&amp;uu=/upload/window/REPORT/LGH-TA21-050.pdf","1.311")</f>
        <v>1.311</v>
      </c>
      <c r="O1368" s="5" t="s">
        <v>19</v>
      </c>
      <c r="P1368" s="5" t="s">
        <v>19</v>
      </c>
      <c r="Q1368" s="5" t="s">
        <v>19</v>
      </c>
      <c r="R1368" s="5" t="s">
        <v>19</v>
      </c>
      <c r="S1368" s="5" t="s">
        <v>19</v>
      </c>
      <c r="T1368" s="5" t="s">
        <v>19</v>
      </c>
      <c r="U1368" s="5" t="s">
        <v>19</v>
      </c>
      <c r="V1368" s="5" t="s">
        <v>19</v>
      </c>
      <c r="W1368" s="5" t="s">
        <v>75</v>
      </c>
      <c r="X1368"/>
    </row>
    <row r="1369" spans="1:24">
      <c r="A1369" t="s">
        <v>130</v>
      </c>
      <c r="B1369" t="s">
        <v>130</v>
      </c>
      <c r="C1369" t="s">
        <v>34</v>
      </c>
      <c r="D1369" t="s">
        <v>76</v>
      </c>
      <c r="E1369" t="s">
        <v>19</v>
      </c>
      <c r="F1369" t="s">
        <v>19</v>
      </c>
      <c r="G1369" t="s">
        <v>19</v>
      </c>
      <c r="H1369" t="s">
        <v>19</v>
      </c>
      <c r="I1369" t="s">
        <v>19</v>
      </c>
      <c r="J1369" t="s">
        <v>97</v>
      </c>
      <c r="K1369" s="21" t="s">
        <v>607</v>
      </c>
      <c r="L1369" s="5" t="s">
        <v>19</v>
      </c>
      <c r="M1369" s="5" t="s">
        <v>19</v>
      </c>
      <c r="N1369" s="5" t="str">
        <f>HYPERLINK("http://www.lghausys.co.kr/popup/rn/download/downloadPopup.jsp?from=plwindow&amp;uu=/upload/window/REPORT/LGH-TA21-051.pdf","1.733")</f>
        <v>1.733</v>
      </c>
      <c r="O1369" s="5" t="s">
        <v>19</v>
      </c>
      <c r="P1369" s="5" t="s">
        <v>19</v>
      </c>
      <c r="Q1369" s="5" t="s">
        <v>19</v>
      </c>
      <c r="R1369" s="5" t="s">
        <v>19</v>
      </c>
      <c r="S1369" s="5" t="s">
        <v>19</v>
      </c>
      <c r="T1369" s="5" t="s">
        <v>19</v>
      </c>
      <c r="U1369" s="5" t="s">
        <v>19</v>
      </c>
      <c r="V1369" s="5" t="s">
        <v>19</v>
      </c>
      <c r="W1369" s="5" t="s">
        <v>75</v>
      </c>
      <c r="X1369"/>
    </row>
    <row r="1370" spans="1:24">
      <c r="A1370" t="s">
        <v>83</v>
      </c>
      <c r="B1370" t="s">
        <v>83</v>
      </c>
      <c r="C1370" t="s">
        <v>34</v>
      </c>
      <c r="D1370" t="s">
        <v>76</v>
      </c>
      <c r="E1370" t="s">
        <v>19</v>
      </c>
      <c r="F1370" t="s">
        <v>19</v>
      </c>
      <c r="G1370" t="s">
        <v>19</v>
      </c>
      <c r="H1370" t="s">
        <v>19</v>
      </c>
      <c r="I1370" t="s">
        <v>19</v>
      </c>
      <c r="J1370" t="s">
        <v>97</v>
      </c>
      <c r="K1370" s="21" t="s">
        <v>607</v>
      </c>
      <c r="L1370" s="5" t="s">
        <v>19</v>
      </c>
      <c r="M1370" s="5" t="s">
        <v>19</v>
      </c>
      <c r="N1370" s="5" t="str">
        <f>HYPERLINK("http://www.lghausys.co.kr/popup/rn/download/downloadPopup.jsp?from=plwindow&amp;uu=/upload/window/REPORT/LGH-TA21-052.pdf","1.724")</f>
        <v>1.724</v>
      </c>
      <c r="O1370" s="5" t="s">
        <v>19</v>
      </c>
      <c r="P1370" s="5" t="s">
        <v>19</v>
      </c>
      <c r="Q1370" s="5" t="s">
        <v>19</v>
      </c>
      <c r="R1370" s="5" t="s">
        <v>19</v>
      </c>
      <c r="S1370" s="5" t="s">
        <v>19</v>
      </c>
      <c r="T1370" s="5" t="s">
        <v>19</v>
      </c>
      <c r="U1370" s="5" t="s">
        <v>19</v>
      </c>
      <c r="V1370" s="5" t="s">
        <v>19</v>
      </c>
      <c r="W1370" s="5" t="s">
        <v>75</v>
      </c>
      <c r="X1370"/>
    </row>
    <row r="1371" spans="1:24">
      <c r="A1371" t="s">
        <v>61</v>
      </c>
      <c r="B1371" t="s">
        <v>19</v>
      </c>
      <c r="C1371" t="s">
        <v>20</v>
      </c>
      <c r="D1371" t="s">
        <v>237</v>
      </c>
      <c r="E1371" t="s">
        <v>19</v>
      </c>
      <c r="F1371" t="s">
        <v>19</v>
      </c>
      <c r="G1371" t="s">
        <v>19</v>
      </c>
      <c r="H1371" t="s">
        <v>19</v>
      </c>
      <c r="I1371" t="s">
        <v>19</v>
      </c>
      <c r="J1371" t="s">
        <v>97</v>
      </c>
      <c r="K1371" s="21" t="str">
        <f>IF(X1371&lt;=0.9,HYPERLINK("http://www.lxhausys.co.kr/popup/rn/download/downloadPopup.jsp?from=plwindow&amp;uu=/upload/window/REPORT/LGH-TW19-028.pdf","1등급"),IF(X1371&lt;=1.2,HYPERLINK("http://www.lxhausys.co.kr/popup/rn/download/downloadPopup.jsp?from=plwindow&amp;uu=/upload/window/REPORT/LGH-TW19-028.pdf","2등급"),IF(X1371&lt;=1.8,HYPERLINK("http://www.lxhausys.co.kr/popup/rn/download/downloadPopup.jsp?from=plwindow&amp;uu=/upload/window/REPORT/LGH-TW19-028.pdf","3등급"),IF(X1371&lt;=2.3,HYPERLINK("http://www.lxhausys.co.kr/popup/rn/download/downloadPopup.jsp?from=plwindow&amp;uu=/upload/window/REPORT/LGH-TW19-028.pdf","4등급"),IF(X1371&lt;=2.8,HYPERLINK("http://www.lxhausys.co.kr/popup/rn/download/downloadPopup.jsp?from=plwindow&amp;uu=/upload/window/REPORT/LGH-TW19-028.pdf","5등급"),HYPERLINK("http://www.lxhausys.co.kr/popup/rn/download/downloadPopup.jsp?from=plwindow&amp;uu=/upload/window/REPORT/LGH-TW19-028.pdf","등급외"))))))</f>
        <v>4등급</v>
      </c>
      <c r="L1371" s="5">
        <v>1.946</v>
      </c>
      <c r="M1371" s="5" t="s">
        <v>103</v>
      </c>
      <c r="N1371" s="5" t="s">
        <v>607</v>
      </c>
      <c r="O1371" s="5" t="s">
        <v>19</v>
      </c>
      <c r="P1371" s="5" t="s">
        <v>19</v>
      </c>
      <c r="Q1371" s="5" t="s">
        <v>19</v>
      </c>
      <c r="R1371" s="5" t="s">
        <v>19</v>
      </c>
      <c r="S1371" s="5" t="s">
        <v>19</v>
      </c>
      <c r="T1371" s="5" t="s">
        <v>19</v>
      </c>
      <c r="U1371" s="5" t="s">
        <v>19</v>
      </c>
      <c r="V1371" s="5" t="s">
        <v>19</v>
      </c>
      <c r="W1371" s="5" t="s">
        <v>19</v>
      </c>
      <c r="X1371" s="19">
        <f t="shared" ref="X1371:X1381" si="15">L1371</f>
        <v>1.946</v>
      </c>
    </row>
    <row r="1372" spans="1:24">
      <c r="A1372" t="s">
        <v>62</v>
      </c>
      <c r="B1372" t="s">
        <v>19</v>
      </c>
      <c r="C1372" t="s">
        <v>20</v>
      </c>
      <c r="D1372" t="s">
        <v>237</v>
      </c>
      <c r="E1372" t="s">
        <v>19</v>
      </c>
      <c r="F1372" t="s">
        <v>19</v>
      </c>
      <c r="G1372" t="s">
        <v>19</v>
      </c>
      <c r="H1372" t="s">
        <v>68</v>
      </c>
      <c r="I1372" t="s">
        <v>19</v>
      </c>
      <c r="J1372" t="s">
        <v>97</v>
      </c>
      <c r="K1372" s="21" t="str">
        <f>IF(X1372&lt;=0.9,HYPERLINK("http://www.lxhausys.co.kr/popup/rn/download/downloadPopup.jsp?from=plwindow&amp;uu=/upload/window/REPORT/LGH-TW19-029.pdf","1등급"),IF(X1372&lt;=1.2,HYPERLINK("http://www.lxhausys.co.kr/popup/rn/download/downloadPopup.jsp?from=plwindow&amp;uu=/upload/window/REPORT/LGH-TW19-029.pdf","2등급"),IF(X1372&lt;=1.8,HYPERLINK("http://www.lxhausys.co.kr/popup/rn/download/downloadPopup.jsp?from=plwindow&amp;uu=/upload/window/REPORT/LGH-TW19-029.pdf","3등급"),IF(X1372&lt;=2.3,HYPERLINK("http://www.lxhausys.co.kr/popup/rn/download/downloadPopup.jsp?from=plwindow&amp;uu=/upload/window/REPORT/LGH-TW19-029.pdf","4등급"),IF(X1372&lt;=2.8,HYPERLINK("http://www.lxhausys.co.kr/popup/rn/download/downloadPopup.jsp?from=plwindow&amp;uu=/upload/window/REPORT/LGH-TW19-029.pdf","5등급"),HYPERLINK("http://www.lxhausys.co.kr/popup/rn/download/downloadPopup.jsp?from=plwindow&amp;uu=/upload/window/REPORT/LGH-TW19-029.pdf","등급외"))))))</f>
        <v>2등급</v>
      </c>
      <c r="L1372" s="5">
        <v>0.95900000000000007</v>
      </c>
      <c r="M1372" s="5" t="s">
        <v>22</v>
      </c>
      <c r="N1372" s="5" t="s">
        <v>607</v>
      </c>
      <c r="O1372" s="5" t="s">
        <v>19</v>
      </c>
      <c r="P1372" s="5" t="s">
        <v>19</v>
      </c>
      <c r="Q1372" s="5" t="s">
        <v>19</v>
      </c>
      <c r="R1372" s="5" t="s">
        <v>19</v>
      </c>
      <c r="S1372" s="5" t="s">
        <v>19</v>
      </c>
      <c r="T1372" s="5" t="s">
        <v>19</v>
      </c>
      <c r="U1372" s="5" t="s">
        <v>19</v>
      </c>
      <c r="V1372" s="5" t="s">
        <v>19</v>
      </c>
      <c r="W1372" s="5" t="s">
        <v>19</v>
      </c>
      <c r="X1372" s="19">
        <f t="shared" si="15"/>
        <v>0.95900000000000007</v>
      </c>
    </row>
    <row r="1373" spans="1:24">
      <c r="A1373" t="s">
        <v>125</v>
      </c>
      <c r="B1373" t="s">
        <v>19</v>
      </c>
      <c r="C1373" t="s">
        <v>20</v>
      </c>
      <c r="D1373" t="s">
        <v>237</v>
      </c>
      <c r="E1373" t="s">
        <v>19</v>
      </c>
      <c r="F1373" t="s">
        <v>19</v>
      </c>
      <c r="G1373" t="s">
        <v>19</v>
      </c>
      <c r="H1373" t="s">
        <v>19</v>
      </c>
      <c r="I1373" t="s">
        <v>19</v>
      </c>
      <c r="J1373" t="s">
        <v>97</v>
      </c>
      <c r="K1373" s="21" t="str">
        <f>IF(X1373&lt;=0.9,HYPERLINK("http://www.lxhausys.co.kr/popup/rn/download/downloadPopup.jsp?from=plwindow&amp;uu=/upload/window/REPORT/LGH-TW19-030.pdf","1등급"),IF(X1373&lt;=1.2,HYPERLINK("http://www.lxhausys.co.kr/popup/rn/download/downloadPopup.jsp?from=plwindow&amp;uu=/upload/window/REPORT/LGH-TW19-030.pdf","2등급"),IF(X1373&lt;=1.8,HYPERLINK("http://www.lxhausys.co.kr/popup/rn/download/downloadPopup.jsp?from=plwindow&amp;uu=/upload/window/REPORT/LGH-TW19-030.pdf","3등급"),IF(X1373&lt;=2.3,HYPERLINK("http://www.lxhausys.co.kr/popup/rn/download/downloadPopup.jsp?from=plwindow&amp;uu=/upload/window/REPORT/LGH-TW19-030.pdf","4등급"),IF(X1373&lt;=2.8,HYPERLINK("http://www.lxhausys.co.kr/popup/rn/download/downloadPopup.jsp?from=plwindow&amp;uu=/upload/window/REPORT/LGH-TW19-030.pdf","5등급"),HYPERLINK("http://www.lxhausys.co.kr/popup/rn/download/downloadPopup.jsp?from=plwindow&amp;uu=/upload/window/REPORT/LGH-TW19-030.pdf","등급외"))))))</f>
        <v>4등급</v>
      </c>
      <c r="L1373" s="5">
        <v>1.883</v>
      </c>
      <c r="M1373" s="5" t="s">
        <v>103</v>
      </c>
      <c r="N1373" s="5" t="s">
        <v>607</v>
      </c>
      <c r="O1373" s="5" t="s">
        <v>19</v>
      </c>
      <c r="P1373" s="5" t="s">
        <v>19</v>
      </c>
      <c r="Q1373" s="5" t="s">
        <v>19</v>
      </c>
      <c r="R1373" s="5" t="s">
        <v>19</v>
      </c>
      <c r="S1373" s="5" t="s">
        <v>19</v>
      </c>
      <c r="T1373" s="5" t="s">
        <v>19</v>
      </c>
      <c r="U1373" s="5" t="s">
        <v>19</v>
      </c>
      <c r="V1373" s="5" t="s">
        <v>19</v>
      </c>
      <c r="W1373" s="5" t="s">
        <v>19</v>
      </c>
      <c r="X1373" s="19">
        <f t="shared" si="15"/>
        <v>1.883</v>
      </c>
    </row>
    <row r="1374" spans="1:24">
      <c r="A1374" t="s">
        <v>52</v>
      </c>
      <c r="B1374" t="s">
        <v>19</v>
      </c>
      <c r="C1374" t="s">
        <v>20</v>
      </c>
      <c r="D1374" t="s">
        <v>237</v>
      </c>
      <c r="E1374" t="s">
        <v>19</v>
      </c>
      <c r="F1374" t="s">
        <v>19</v>
      </c>
      <c r="G1374" t="s">
        <v>19</v>
      </c>
      <c r="H1374" t="s">
        <v>68</v>
      </c>
      <c r="I1374" t="s">
        <v>19</v>
      </c>
      <c r="J1374" t="s">
        <v>97</v>
      </c>
      <c r="K1374" s="21" t="str">
        <f>IF(X1374&lt;=0.9,HYPERLINK("http://www.lxhausys.co.kr/popup/rn/download/downloadPopup.jsp?from=plwindow&amp;uu=/upload/window/REPORT/LGH-TW19-031.pdf","1등급"),IF(X1374&lt;=1.2,HYPERLINK("http://www.lxhausys.co.kr/popup/rn/download/downloadPopup.jsp?from=plwindow&amp;uu=/upload/window/REPORT/LGH-TW19-031.pdf","2등급"),IF(X1374&lt;=1.8,HYPERLINK("http://www.lxhausys.co.kr/popup/rn/download/downloadPopup.jsp?from=plwindow&amp;uu=/upload/window/REPORT/LGH-TW19-031.pdf","3등급"),IF(X1374&lt;=2.3,HYPERLINK("http://www.lxhausys.co.kr/popup/rn/download/downloadPopup.jsp?from=plwindow&amp;uu=/upload/window/REPORT/LGH-TW19-031.pdf","4등급"),IF(X1374&lt;=2.8,HYPERLINK("http://www.lxhausys.co.kr/popup/rn/download/downloadPopup.jsp?from=plwindow&amp;uu=/upload/window/REPORT/LGH-TW19-031.pdf","5등급"),HYPERLINK("http://www.lxhausys.co.kr/popup/rn/download/downloadPopup.jsp?from=plwindow&amp;uu=/upload/window/REPORT/LGH-TW19-031.pdf","등급외"))))))</f>
        <v>2등급</v>
      </c>
      <c r="L1374" s="5">
        <v>0.95599999999999996</v>
      </c>
      <c r="M1374" s="5" t="s">
        <v>22</v>
      </c>
      <c r="N1374" s="5" t="s">
        <v>607</v>
      </c>
      <c r="O1374" s="5" t="s">
        <v>19</v>
      </c>
      <c r="P1374" s="5" t="s">
        <v>19</v>
      </c>
      <c r="Q1374" s="5" t="s">
        <v>19</v>
      </c>
      <c r="R1374" s="5" t="s">
        <v>19</v>
      </c>
      <c r="S1374" s="5" t="s">
        <v>19</v>
      </c>
      <c r="T1374" s="5" t="s">
        <v>19</v>
      </c>
      <c r="U1374" s="5" t="s">
        <v>19</v>
      </c>
      <c r="V1374" s="5" t="s">
        <v>19</v>
      </c>
      <c r="W1374" s="5" t="s">
        <v>19</v>
      </c>
      <c r="X1374" s="19">
        <f t="shared" si="15"/>
        <v>0.95599999999999996</v>
      </c>
    </row>
    <row r="1375" spans="1:24">
      <c r="A1375" t="s">
        <v>510</v>
      </c>
      <c r="B1375" t="s">
        <v>510</v>
      </c>
      <c r="C1375" t="s">
        <v>20</v>
      </c>
      <c r="D1375" t="s">
        <v>564</v>
      </c>
      <c r="E1375" t="s">
        <v>19</v>
      </c>
      <c r="F1375" t="s">
        <v>19</v>
      </c>
      <c r="G1375" t="s">
        <v>19</v>
      </c>
      <c r="H1375" t="s">
        <v>19</v>
      </c>
      <c r="I1375" t="s">
        <v>19</v>
      </c>
      <c r="J1375" t="s">
        <v>97</v>
      </c>
      <c r="K1375" s="21" t="str">
        <f>IF(X1375&lt;=0.9,HYPERLINK("http://www.lxhausys.co.kr/popup/rn/download/downloadPopup.jsp?from=plwindow&amp;uu=/upload/window/REPORT/LGH-TW21-018.pdf","1등급"),IF(X1375&lt;=1.2,HYPERLINK("http://www.lxhausys.co.kr/popup/rn/download/downloadPopup.jsp?from=plwindow&amp;uu=/upload/window/REPORT/LGH-TW21-018.pdf","2등급"),IF(X1375&lt;=1.8,HYPERLINK("http://www.lxhausys.co.kr/popup/rn/download/downloadPopup.jsp?from=plwindow&amp;uu=/upload/window/REPORT/LGH-TW21-018.pdf","3등급"),IF(X1375&lt;=2.3,HYPERLINK("http://www.lxhausys.co.kr/popup/rn/download/downloadPopup.jsp?from=plwindow&amp;uu=/upload/window/REPORT/LGH-TW21-018.pdf","4등급"),IF(X1375&lt;=2.8,HYPERLINK("http://www.lxhausys.co.kr/popup/rn/download/downloadPopup.jsp?from=plwindow&amp;uu=/upload/window/REPORT/LGH-TW21-018.pdf","5등급"),HYPERLINK("http://www.lxhausys.co.kr/popup/rn/download/downloadPopup.jsp?from=plwindow&amp;uu=/upload/window/REPORT/LGH-TW21-018.pdf","등급외"))))))</f>
        <v>3등급</v>
      </c>
      <c r="L1375" s="5">
        <v>1.742</v>
      </c>
      <c r="M1375" s="5" t="s">
        <v>535</v>
      </c>
      <c r="N1375" s="5" t="s">
        <v>607</v>
      </c>
      <c r="O1375" s="5" t="s">
        <v>19</v>
      </c>
      <c r="P1375" s="5" t="s">
        <v>19</v>
      </c>
      <c r="Q1375" s="5" t="s">
        <v>19</v>
      </c>
      <c r="R1375" s="5" t="s">
        <v>19</v>
      </c>
      <c r="S1375" s="5" t="s">
        <v>19</v>
      </c>
      <c r="T1375" s="5" t="s">
        <v>19</v>
      </c>
      <c r="U1375" s="5" t="s">
        <v>19</v>
      </c>
      <c r="V1375" s="5" t="s">
        <v>19</v>
      </c>
      <c r="W1375" s="5" t="s">
        <v>19</v>
      </c>
      <c r="X1375" s="19">
        <f t="shared" si="15"/>
        <v>1.742</v>
      </c>
    </row>
    <row r="1376" spans="1:24">
      <c r="A1376" t="s">
        <v>510</v>
      </c>
      <c r="B1376" t="s">
        <v>510</v>
      </c>
      <c r="C1376" t="s">
        <v>20</v>
      </c>
      <c r="D1376" t="s">
        <v>565</v>
      </c>
      <c r="E1376" t="s">
        <v>19</v>
      </c>
      <c r="F1376" t="s">
        <v>19</v>
      </c>
      <c r="G1376" t="s">
        <v>19</v>
      </c>
      <c r="H1376" t="s">
        <v>19</v>
      </c>
      <c r="I1376" t="s">
        <v>19</v>
      </c>
      <c r="J1376" t="s">
        <v>97</v>
      </c>
      <c r="K1376" s="21" t="str">
        <f>IF(X1376&lt;=0.9,HYPERLINK("http://www.lxhausys.co.kr/popup/rn/download/downloadPopup.jsp?from=plwindow&amp;uu=/upload/window/REPORT/LGH-TW21-019.pdf","1등급"),IF(X1376&lt;=1.2,HYPERLINK("http://www.lxhausys.co.kr/popup/rn/download/downloadPopup.jsp?from=plwindow&amp;uu=/upload/window/REPORT/LGH-TW21-019.pdf","2등급"),IF(X1376&lt;=1.8,HYPERLINK("http://www.lxhausys.co.kr/popup/rn/download/downloadPopup.jsp?from=plwindow&amp;uu=/upload/window/REPORT/LGH-TW21-019.pdf","3등급"),IF(X1376&lt;=2.3,HYPERLINK("http://www.lxhausys.co.kr/popup/rn/download/downloadPopup.jsp?from=plwindow&amp;uu=/upload/window/REPORT/LGH-TW21-019.pdf","4등급"),IF(X1376&lt;=2.8,HYPERLINK("http://www.lxhausys.co.kr/popup/rn/download/downloadPopup.jsp?from=plwindow&amp;uu=/upload/window/REPORT/LGH-TW21-019.pdf","5등급"),HYPERLINK("http://www.lxhausys.co.kr/popup/rn/download/downloadPopup.jsp?from=plwindow&amp;uu=/upload/window/REPORT/LGH-TW21-019.pdf","등급외"))))))</f>
        <v>3등급</v>
      </c>
      <c r="L1376" s="5">
        <v>1.5629999999999999</v>
      </c>
      <c r="M1376" s="5" t="s">
        <v>566</v>
      </c>
      <c r="N1376" s="5" t="s">
        <v>607</v>
      </c>
      <c r="O1376" s="5" t="s">
        <v>19</v>
      </c>
      <c r="P1376" s="5" t="s">
        <v>19</v>
      </c>
      <c r="Q1376" s="5" t="s">
        <v>19</v>
      </c>
      <c r="R1376" s="5" t="s">
        <v>19</v>
      </c>
      <c r="S1376" s="5" t="s">
        <v>19</v>
      </c>
      <c r="T1376" s="5" t="s">
        <v>19</v>
      </c>
      <c r="U1376" s="5" t="s">
        <v>19</v>
      </c>
      <c r="V1376" s="5" t="s">
        <v>19</v>
      </c>
      <c r="W1376" s="5" t="s">
        <v>19</v>
      </c>
      <c r="X1376" s="19">
        <f t="shared" si="15"/>
        <v>1.5629999999999999</v>
      </c>
    </row>
    <row r="1377" spans="1:24">
      <c r="A1377" t="s">
        <v>513</v>
      </c>
      <c r="B1377" t="s">
        <v>513</v>
      </c>
      <c r="C1377" t="s">
        <v>20</v>
      </c>
      <c r="D1377" t="s">
        <v>545</v>
      </c>
      <c r="E1377" t="s">
        <v>19</v>
      </c>
      <c r="F1377" t="s">
        <v>19</v>
      </c>
      <c r="G1377" t="s">
        <v>19</v>
      </c>
      <c r="H1377" t="s">
        <v>565</v>
      </c>
      <c r="I1377" t="s">
        <v>19</v>
      </c>
      <c r="J1377" t="s">
        <v>97</v>
      </c>
      <c r="K1377" s="21" t="str">
        <f>IF(X1377&lt;=0.9,HYPERLINK("http://www.lxhausys.co.kr/popup/rn/download/downloadPopup.jsp?from=plwindow&amp;uu=/upload/window/REPORT/LGH-TW21-020.pdf","1등급"),IF(X1377&lt;=1.2,HYPERLINK("http://www.lxhausys.co.kr/popup/rn/download/downloadPopup.jsp?from=plwindow&amp;uu=/upload/window/REPORT/LGH-TW21-020.pdf","2등급"),IF(X1377&lt;=1.8,HYPERLINK("http://www.lxhausys.co.kr/popup/rn/download/downloadPopup.jsp?from=plwindow&amp;uu=/upload/window/REPORT/LGH-TW21-020.pdf","3등급"),IF(X1377&lt;=2.3,HYPERLINK("http://www.lxhausys.co.kr/popup/rn/download/downloadPopup.jsp?from=plwindow&amp;uu=/upload/window/REPORT/LGH-TW21-020.pdf","4등급"),IF(X1377&lt;=2.8,HYPERLINK("http://www.lxhausys.co.kr/popup/rn/download/downloadPopup.jsp?from=plwindow&amp;uu=/upload/window/REPORT/LGH-TW21-020.pdf","5등급"),HYPERLINK("http://www.lxhausys.co.kr/popup/rn/download/downloadPopup.jsp?from=plwindow&amp;uu=/upload/window/REPORT/LGH-TW21-020.pdf","등급외"))))))</f>
        <v>1등급</v>
      </c>
      <c r="L1377" s="5">
        <v>0.75800000000000001</v>
      </c>
      <c r="M1377" s="5" t="s">
        <v>567</v>
      </c>
      <c r="N1377" s="5" t="s">
        <v>607</v>
      </c>
      <c r="O1377" s="5" t="s">
        <v>19</v>
      </c>
      <c r="P1377" s="5" t="s">
        <v>19</v>
      </c>
      <c r="Q1377" s="5" t="s">
        <v>19</v>
      </c>
      <c r="R1377" s="5" t="s">
        <v>19</v>
      </c>
      <c r="S1377" s="5" t="s">
        <v>19</v>
      </c>
      <c r="T1377" s="5" t="s">
        <v>19</v>
      </c>
      <c r="U1377" s="5" t="s">
        <v>19</v>
      </c>
      <c r="V1377" s="5" t="s">
        <v>19</v>
      </c>
      <c r="W1377" s="5" t="s">
        <v>19</v>
      </c>
      <c r="X1377" s="19">
        <f t="shared" si="15"/>
        <v>0.75800000000000001</v>
      </c>
    </row>
    <row r="1378" spans="1:24">
      <c r="A1378" t="s">
        <v>513</v>
      </c>
      <c r="B1378" t="s">
        <v>513</v>
      </c>
      <c r="C1378" t="s">
        <v>20</v>
      </c>
      <c r="D1378" t="s">
        <v>545</v>
      </c>
      <c r="E1378" t="s">
        <v>19</v>
      </c>
      <c r="F1378" t="s">
        <v>19</v>
      </c>
      <c r="G1378" t="s">
        <v>19</v>
      </c>
      <c r="H1378" t="s">
        <v>564</v>
      </c>
      <c r="I1378" t="s">
        <v>19</v>
      </c>
      <c r="J1378" t="s">
        <v>97</v>
      </c>
      <c r="K1378" s="21" t="str">
        <f>IF(X1378&lt;=0.9,HYPERLINK("http://www.lxhausys.co.kr/popup/rn/download/downloadPopup.jsp?from=plwindow&amp;uu=/upload/window/REPORT/LGH-TW21-021.pdf","1등급"),IF(X1378&lt;=1.2,HYPERLINK("http://www.lxhausys.co.kr/popup/rn/download/downloadPopup.jsp?from=plwindow&amp;uu=/upload/window/REPORT/LGH-TW21-021.pdf","2등급"),IF(X1378&lt;=1.8,HYPERLINK("http://www.lxhausys.co.kr/popup/rn/download/downloadPopup.jsp?from=plwindow&amp;uu=/upload/window/REPORT/LGH-TW21-021.pdf","3등급"),IF(X1378&lt;=2.3,HYPERLINK("http://www.lxhausys.co.kr/popup/rn/download/downloadPopup.jsp?from=plwindow&amp;uu=/upload/window/REPORT/LGH-TW21-021.pdf","4등급"),IF(X1378&lt;=2.8,HYPERLINK("http://www.lxhausys.co.kr/popup/rn/download/downloadPopup.jsp?from=plwindow&amp;uu=/upload/window/REPORT/LGH-TW21-021.pdf","5등급"),HYPERLINK("http://www.lxhausys.co.kr/popup/rn/download/downloadPopup.jsp?from=plwindow&amp;uu=/upload/window/REPORT/LGH-TW21-021.pdf","등급외"))))))</f>
        <v>1등급</v>
      </c>
      <c r="L1378" s="5">
        <v>0.81799999999999995</v>
      </c>
      <c r="M1378" s="5" t="s">
        <v>567</v>
      </c>
      <c r="N1378" s="5" t="s">
        <v>607</v>
      </c>
      <c r="O1378" s="5" t="s">
        <v>19</v>
      </c>
      <c r="P1378" s="5" t="s">
        <v>19</v>
      </c>
      <c r="Q1378" s="5" t="s">
        <v>19</v>
      </c>
      <c r="R1378" s="5" t="s">
        <v>19</v>
      </c>
      <c r="S1378" s="5" t="s">
        <v>19</v>
      </c>
      <c r="T1378" s="5" t="s">
        <v>19</v>
      </c>
      <c r="U1378" s="5" t="s">
        <v>19</v>
      </c>
      <c r="V1378" s="5" t="s">
        <v>19</v>
      </c>
      <c r="W1378" s="5" t="s">
        <v>19</v>
      </c>
      <c r="X1378" s="19">
        <f t="shared" si="15"/>
        <v>0.81799999999999995</v>
      </c>
    </row>
    <row r="1379" spans="1:24">
      <c r="A1379" t="s">
        <v>513</v>
      </c>
      <c r="B1379" t="s">
        <v>513</v>
      </c>
      <c r="C1379" t="s">
        <v>20</v>
      </c>
      <c r="D1379" t="s">
        <v>564</v>
      </c>
      <c r="E1379" t="s">
        <v>19</v>
      </c>
      <c r="F1379" t="s">
        <v>19</v>
      </c>
      <c r="G1379" t="s">
        <v>19</v>
      </c>
      <c r="H1379" t="s">
        <v>545</v>
      </c>
      <c r="I1379" t="s">
        <v>19</v>
      </c>
      <c r="J1379" t="s">
        <v>97</v>
      </c>
      <c r="K1379" s="21" t="str">
        <f>IF(X1379&lt;=0.9,HYPERLINK("http://www.lxhausys.co.kr/popup/rn/download/downloadPopup.jsp?from=plwindow&amp;uu=/upload/window/REPORT/LGH-TW21-022.pdf","1등급"),IF(X1379&lt;=1.2,HYPERLINK("http://www.lxhausys.co.kr/popup/rn/download/downloadPopup.jsp?from=plwindow&amp;uu=/upload/window/REPORT/LGH-TW21-022.pdf","2등급"),IF(X1379&lt;=1.8,HYPERLINK("http://www.lxhausys.co.kr/popup/rn/download/downloadPopup.jsp?from=plwindow&amp;uu=/upload/window/REPORT/LGH-TW21-022.pdf","3등급"),IF(X1379&lt;=2.3,HYPERLINK("http://www.lxhausys.co.kr/popup/rn/download/downloadPopup.jsp?from=plwindow&amp;uu=/upload/window/REPORT/LGH-TW21-022.pdf","4등급"),IF(X1379&lt;=2.8,HYPERLINK("http://www.lxhausys.co.kr/popup/rn/download/downloadPopup.jsp?from=plwindow&amp;uu=/upload/window/REPORT/LGH-TW21-022.pdf","5등급"),HYPERLINK("http://www.lxhausys.co.kr/popup/rn/download/downloadPopup.jsp?from=plwindow&amp;uu=/upload/window/REPORT/LGH-TW21-022.pdf","등급외"))))))</f>
        <v>1등급</v>
      </c>
      <c r="L1379" s="5">
        <v>0.85299999999999998</v>
      </c>
      <c r="M1379" s="5" t="s">
        <v>568</v>
      </c>
      <c r="N1379" s="5" t="s">
        <v>607</v>
      </c>
      <c r="O1379" s="5" t="s">
        <v>19</v>
      </c>
      <c r="P1379" s="5" t="s">
        <v>19</v>
      </c>
      <c r="Q1379" s="5" t="s">
        <v>19</v>
      </c>
      <c r="R1379" s="5" t="s">
        <v>19</v>
      </c>
      <c r="S1379" s="5" t="s">
        <v>19</v>
      </c>
      <c r="T1379" s="5" t="s">
        <v>19</v>
      </c>
      <c r="U1379" s="5" t="s">
        <v>19</v>
      </c>
      <c r="V1379" s="5" t="s">
        <v>19</v>
      </c>
      <c r="W1379" s="5" t="s">
        <v>19</v>
      </c>
      <c r="X1379" s="19">
        <f t="shared" si="15"/>
        <v>0.85299999999999998</v>
      </c>
    </row>
    <row r="1380" spans="1:24">
      <c r="A1380" t="s">
        <v>507</v>
      </c>
      <c r="B1380" t="s">
        <v>507</v>
      </c>
      <c r="C1380" t="s">
        <v>20</v>
      </c>
      <c r="D1380" t="s">
        <v>76</v>
      </c>
      <c r="E1380" t="s">
        <v>19</v>
      </c>
      <c r="F1380" t="s">
        <v>19</v>
      </c>
      <c r="G1380" t="s">
        <v>19</v>
      </c>
      <c r="H1380" t="s">
        <v>19</v>
      </c>
      <c r="I1380" t="s">
        <v>19</v>
      </c>
      <c r="J1380" t="s">
        <v>184</v>
      </c>
      <c r="K1380" s="21" t="str">
        <f>IF(X1380&lt;=0.9,HYPERLINK("http://www.lxhausys.co.kr/popup/rn/download/downloadPopup.jsp?from=plwindow&amp;uu=/upload/window/REPORT/LGH-TW21-023.pdf","1등급"),IF(X1380&lt;=1.2,HYPERLINK("http://www.lxhausys.co.kr/popup/rn/download/downloadPopup.jsp?from=plwindow&amp;uu=/upload/window/REPORT/LGH-TW21-023.pdf","2등급"),IF(X1380&lt;=1.8,HYPERLINK("http://www.lxhausys.co.kr/popup/rn/download/downloadPopup.jsp?from=plwindow&amp;uu=/upload/window/REPORT/LGH-TW21-023.pdf","3등급"),IF(X1380&lt;=2.3,HYPERLINK("http://www.lxhausys.co.kr/popup/rn/download/downloadPopup.jsp?from=plwindow&amp;uu=/upload/window/REPORT/LGH-TW21-023.pdf","4등급"),IF(X1380&lt;=2.8,HYPERLINK("http://www.lxhausys.co.kr/popup/rn/download/downloadPopup.jsp?from=plwindow&amp;uu=/upload/window/REPORT/LGH-TW21-023.pdf","5등급"),HYPERLINK("http://www.lxhausys.co.kr/popup/rn/download/downloadPopup.jsp?from=plwindow&amp;uu=/upload/window/REPORT/LGH-TW21-023.pdf","등급외"))))))</f>
        <v>3등급</v>
      </c>
      <c r="L1380" s="5">
        <v>1.387</v>
      </c>
      <c r="M1380" s="5" t="s">
        <v>569</v>
      </c>
      <c r="N1380" s="5" t="s">
        <v>607</v>
      </c>
      <c r="O1380" s="5" t="s">
        <v>19</v>
      </c>
      <c r="P1380" s="5" t="s">
        <v>19</v>
      </c>
      <c r="Q1380" s="5" t="s">
        <v>19</v>
      </c>
      <c r="R1380" s="5" t="s">
        <v>19</v>
      </c>
      <c r="S1380" s="5" t="s">
        <v>19</v>
      </c>
      <c r="T1380" s="5" t="s">
        <v>19</v>
      </c>
      <c r="U1380" s="5" t="s">
        <v>19</v>
      </c>
      <c r="V1380" s="5" t="s">
        <v>19</v>
      </c>
      <c r="W1380" s="5" t="s">
        <v>19</v>
      </c>
      <c r="X1380" s="19">
        <f t="shared" si="15"/>
        <v>1.387</v>
      </c>
    </row>
    <row r="1381" spans="1:24">
      <c r="A1381" t="s">
        <v>507</v>
      </c>
      <c r="B1381" t="s">
        <v>507</v>
      </c>
      <c r="C1381" t="s">
        <v>20</v>
      </c>
      <c r="D1381" t="s">
        <v>570</v>
      </c>
      <c r="E1381" t="s">
        <v>19</v>
      </c>
      <c r="F1381" t="s">
        <v>19</v>
      </c>
      <c r="G1381" t="s">
        <v>19</v>
      </c>
      <c r="H1381" t="s">
        <v>19</v>
      </c>
      <c r="I1381" t="s">
        <v>19</v>
      </c>
      <c r="J1381" t="s">
        <v>184</v>
      </c>
      <c r="K1381" s="21" t="str">
        <f>IF(X1381&lt;=0.9,HYPERLINK("http://www.lxhausys.co.kr/popup/rn/download/downloadPopup.jsp?from=plwindow&amp;uu=/upload/window/REPORT/LGH-TW21-024.pdf","1등급"),IF(X1381&lt;=1.2,HYPERLINK("http://www.lxhausys.co.kr/popup/rn/download/downloadPopup.jsp?from=plwindow&amp;uu=/upload/window/REPORT/LGH-TW21-024.pdf","2등급"),IF(X1381&lt;=1.8,HYPERLINK("http://www.lxhausys.co.kr/popup/rn/download/downloadPopup.jsp?from=plwindow&amp;uu=/upload/window/REPORT/LGH-TW21-024.pdf","3등급"),IF(X1381&lt;=2.3,HYPERLINK("http://www.lxhausys.co.kr/popup/rn/download/downloadPopup.jsp?from=plwindow&amp;uu=/upload/window/REPORT/LGH-TW21-024.pdf","4등급"),IF(X1381&lt;=2.8,HYPERLINK("http://www.lxhausys.co.kr/popup/rn/download/downloadPopup.jsp?from=plwindow&amp;uu=/upload/window/REPORT/LGH-TW21-024.pdf","5등급"),HYPERLINK("http://www.lxhausys.co.kr/popup/rn/download/downloadPopup.jsp?from=plwindow&amp;uu=/upload/window/REPORT/LGH-TW21-024.pdf","등급외"))))))</f>
        <v>1등급</v>
      </c>
      <c r="L1381" s="5">
        <v>0.80700000000000005</v>
      </c>
      <c r="M1381" s="5" t="s">
        <v>571</v>
      </c>
      <c r="N1381" s="5" t="s">
        <v>607</v>
      </c>
      <c r="O1381" s="5" t="s">
        <v>19</v>
      </c>
      <c r="P1381" s="5" t="s">
        <v>19</v>
      </c>
      <c r="Q1381" s="5" t="s">
        <v>19</v>
      </c>
      <c r="R1381" s="5" t="s">
        <v>19</v>
      </c>
      <c r="S1381" s="5" t="s">
        <v>19</v>
      </c>
      <c r="T1381" s="5" t="s">
        <v>19</v>
      </c>
      <c r="U1381" s="5" t="s">
        <v>19</v>
      </c>
      <c r="V1381" s="5" t="s">
        <v>19</v>
      </c>
      <c r="W1381" s="5" t="s">
        <v>19</v>
      </c>
      <c r="X1381" s="19">
        <f t="shared" si="15"/>
        <v>0.80700000000000005</v>
      </c>
    </row>
    <row r="1382" spans="1:24">
      <c r="A1382" t="s">
        <v>443</v>
      </c>
      <c r="B1382" t="s">
        <v>443</v>
      </c>
      <c r="C1382" t="s">
        <v>34</v>
      </c>
      <c r="D1382" t="s">
        <v>498</v>
      </c>
      <c r="E1382" t="s">
        <v>19</v>
      </c>
      <c r="F1382" t="s">
        <v>19</v>
      </c>
      <c r="G1382" t="s">
        <v>19</v>
      </c>
      <c r="H1382" t="s">
        <v>19</v>
      </c>
      <c r="I1382" t="s">
        <v>19</v>
      </c>
      <c r="J1382" t="s">
        <v>74</v>
      </c>
      <c r="K1382" s="21" t="s">
        <v>607</v>
      </c>
      <c r="L1382" s="5" t="s">
        <v>19</v>
      </c>
      <c r="M1382" s="5" t="s">
        <v>19</v>
      </c>
      <c r="N1382" s="5" t="str">
        <f>HYPERLINK("http://www.lghausys.co.kr/popup/rn/download/downloadPopup.jsp?from=plwindow&amp;uu=/upload/window/REPORT/LGH-TA21-057.pdf","1.1259")</f>
        <v>1.1259</v>
      </c>
      <c r="O1382" s="5" t="s">
        <v>19</v>
      </c>
      <c r="P1382" s="5" t="s">
        <v>19</v>
      </c>
      <c r="Q1382" s="5" t="s">
        <v>19</v>
      </c>
      <c r="R1382" s="5" t="s">
        <v>19</v>
      </c>
      <c r="S1382" s="5" t="s">
        <v>19</v>
      </c>
      <c r="T1382" s="5" t="s">
        <v>19</v>
      </c>
      <c r="U1382" s="5" t="s">
        <v>19</v>
      </c>
      <c r="V1382" s="5" t="s">
        <v>19</v>
      </c>
      <c r="W1382" s="5" t="s">
        <v>75</v>
      </c>
      <c r="X1382"/>
    </row>
    <row r="1383" spans="1:24">
      <c r="A1383" t="s">
        <v>507</v>
      </c>
      <c r="B1383" t="s">
        <v>507</v>
      </c>
      <c r="C1383" t="s">
        <v>34</v>
      </c>
      <c r="D1383" t="s">
        <v>572</v>
      </c>
      <c r="E1383" t="s">
        <v>19</v>
      </c>
      <c r="F1383" t="s">
        <v>19</v>
      </c>
      <c r="G1383" t="s">
        <v>19</v>
      </c>
      <c r="H1383" t="s">
        <v>19</v>
      </c>
      <c r="I1383" t="s">
        <v>19</v>
      </c>
      <c r="J1383" t="s">
        <v>97</v>
      </c>
      <c r="K1383" s="21" t="s">
        <v>607</v>
      </c>
      <c r="L1383" s="5" t="s">
        <v>19</v>
      </c>
      <c r="M1383" s="5" t="s">
        <v>19</v>
      </c>
      <c r="N1383" s="5" t="str">
        <f>HYPERLINK("http://www.lghausys.co.kr/popup/rn/download/downloadPopup.jsp?from=plwindow&amp;uu=/upload/window/REPORT/LGH-TA21-058.pdf","1.287")</f>
        <v>1.287</v>
      </c>
      <c r="O1383" s="5" t="s">
        <v>19</v>
      </c>
      <c r="P1383" s="5" t="s">
        <v>19</v>
      </c>
      <c r="Q1383" s="5" t="s">
        <v>19</v>
      </c>
      <c r="R1383" s="5" t="s">
        <v>19</v>
      </c>
      <c r="S1383" s="5" t="s">
        <v>19</v>
      </c>
      <c r="T1383" s="5" t="s">
        <v>19</v>
      </c>
      <c r="U1383" s="5" t="s">
        <v>19</v>
      </c>
      <c r="V1383" s="5" t="s">
        <v>19</v>
      </c>
      <c r="W1383" s="5" t="s">
        <v>75</v>
      </c>
      <c r="X1383"/>
    </row>
    <row r="1384" spans="1:24">
      <c r="A1384" t="s">
        <v>30</v>
      </c>
      <c r="B1384" t="s">
        <v>30</v>
      </c>
      <c r="C1384" t="s">
        <v>34</v>
      </c>
      <c r="D1384" t="s">
        <v>25</v>
      </c>
      <c r="E1384" t="s">
        <v>19</v>
      </c>
      <c r="F1384" t="s">
        <v>19</v>
      </c>
      <c r="G1384" t="s">
        <v>19</v>
      </c>
      <c r="H1384" t="s">
        <v>64</v>
      </c>
      <c r="I1384" t="s">
        <v>19</v>
      </c>
      <c r="J1384" t="s">
        <v>145</v>
      </c>
      <c r="K1384" s="21" t="s">
        <v>607</v>
      </c>
      <c r="L1384" s="5" t="s">
        <v>19</v>
      </c>
      <c r="M1384" s="5" t="s">
        <v>19</v>
      </c>
      <c r="N1384" s="5" t="str">
        <f>HYPERLINK("http://www.lghausys.co.kr/popup/rn/download/downloadPopup.jsp?from=plwindow&amp;uu=/upload/window/REPORT/LGH-TA21-067.pdf","0.932")</f>
        <v>0.932</v>
      </c>
      <c r="O1384" s="5" t="s">
        <v>19</v>
      </c>
      <c r="P1384" s="5" t="s">
        <v>19</v>
      </c>
      <c r="Q1384" s="5" t="s">
        <v>19</v>
      </c>
      <c r="R1384" s="5" t="s">
        <v>19</v>
      </c>
      <c r="S1384" s="5" t="s">
        <v>19</v>
      </c>
      <c r="T1384" s="5" t="s">
        <v>19</v>
      </c>
      <c r="U1384" s="5" t="s">
        <v>19</v>
      </c>
      <c r="V1384" s="5" t="s">
        <v>19</v>
      </c>
      <c r="W1384" s="5" t="s">
        <v>75</v>
      </c>
      <c r="X1384"/>
    </row>
    <row r="1385" spans="1:24">
      <c r="A1385" t="s">
        <v>573</v>
      </c>
      <c r="B1385" t="s">
        <v>573</v>
      </c>
      <c r="C1385" t="s">
        <v>34</v>
      </c>
      <c r="D1385" t="s">
        <v>64</v>
      </c>
      <c r="E1385" t="s">
        <v>574</v>
      </c>
      <c r="F1385" t="s">
        <v>19</v>
      </c>
      <c r="G1385" t="s">
        <v>19</v>
      </c>
      <c r="H1385" t="s">
        <v>19</v>
      </c>
      <c r="I1385" t="s">
        <v>19</v>
      </c>
      <c r="J1385" t="s">
        <v>145</v>
      </c>
      <c r="K1385" s="21" t="s">
        <v>607</v>
      </c>
      <c r="L1385" s="5" t="s">
        <v>19</v>
      </c>
      <c r="M1385" s="5" t="s">
        <v>19</v>
      </c>
      <c r="N1385" s="5" t="str">
        <f>HYPERLINK("http://www.lghausys.co.kr/popup/rn/download/downloadPopup.jsp?from=plwindow&amp;uu=/upload/window/REPORT/LGH-TA21-068.pdf","2.123")</f>
        <v>2.123</v>
      </c>
      <c r="O1385" s="5" t="s">
        <v>19</v>
      </c>
      <c r="P1385" s="5" t="s">
        <v>19</v>
      </c>
      <c r="Q1385" s="5" t="s">
        <v>19</v>
      </c>
      <c r="R1385" s="5" t="s">
        <v>19</v>
      </c>
      <c r="S1385" s="5" t="s">
        <v>19</v>
      </c>
      <c r="T1385" s="5" t="s">
        <v>19</v>
      </c>
      <c r="U1385" s="5" t="s">
        <v>19</v>
      </c>
      <c r="V1385" s="5" t="s">
        <v>19</v>
      </c>
      <c r="W1385" s="5" t="s">
        <v>75</v>
      </c>
      <c r="X1385"/>
    </row>
    <row r="1386" spans="1:24">
      <c r="A1386" t="s">
        <v>224</v>
      </c>
      <c r="B1386" t="s">
        <v>224</v>
      </c>
      <c r="C1386" t="s">
        <v>34</v>
      </c>
      <c r="D1386" t="s">
        <v>53</v>
      </c>
      <c r="E1386" t="s">
        <v>19</v>
      </c>
      <c r="F1386" t="s">
        <v>19</v>
      </c>
      <c r="G1386" t="s">
        <v>19</v>
      </c>
      <c r="H1386" t="s">
        <v>19</v>
      </c>
      <c r="I1386" t="s">
        <v>19</v>
      </c>
      <c r="J1386" t="s">
        <v>97</v>
      </c>
      <c r="K1386" s="21" t="s">
        <v>607</v>
      </c>
      <c r="L1386" s="5" t="s">
        <v>19</v>
      </c>
      <c r="M1386" s="5" t="s">
        <v>19</v>
      </c>
      <c r="N1386" s="5" t="str">
        <f>HYPERLINK("http://www.lghausys.co.kr/popup/rn/download/downloadPopup.jsp?from=plwindow&amp;uu=/upload/window/REPORT/LGH-TA21-069.pdf","1.792")</f>
        <v>1.792</v>
      </c>
      <c r="O1386" s="5" t="s">
        <v>19</v>
      </c>
      <c r="P1386" s="5" t="s">
        <v>19</v>
      </c>
      <c r="Q1386" s="5" t="s">
        <v>19</v>
      </c>
      <c r="R1386" s="5" t="s">
        <v>19</v>
      </c>
      <c r="S1386" s="5" t="s">
        <v>19</v>
      </c>
      <c r="T1386" s="5" t="s">
        <v>19</v>
      </c>
      <c r="U1386" s="5" t="s">
        <v>19</v>
      </c>
      <c r="V1386" s="5" t="s">
        <v>19</v>
      </c>
      <c r="W1386" s="5" t="s">
        <v>75</v>
      </c>
      <c r="X1386"/>
    </row>
    <row r="1387" spans="1:24">
      <c r="A1387" t="s">
        <v>507</v>
      </c>
      <c r="B1387" t="s">
        <v>507</v>
      </c>
      <c r="C1387" t="s">
        <v>31</v>
      </c>
      <c r="D1387" t="s">
        <v>572</v>
      </c>
      <c r="E1387" t="s">
        <v>19</v>
      </c>
      <c r="F1387" t="s">
        <v>19</v>
      </c>
      <c r="G1387" t="s">
        <v>19</v>
      </c>
      <c r="H1387" t="s">
        <v>19</v>
      </c>
      <c r="I1387" t="s">
        <v>19</v>
      </c>
      <c r="J1387" t="s">
        <v>97</v>
      </c>
      <c r="K1387" s="21" t="s">
        <v>607</v>
      </c>
      <c r="L1387" s="5" t="s">
        <v>19</v>
      </c>
      <c r="M1387" s="5" t="s">
        <v>19</v>
      </c>
      <c r="N1387" s="5" t="s">
        <v>19</v>
      </c>
      <c r="O1387" s="5" t="str">
        <f>HYPERLINK("http://www.lghausys.co.kr/popup/rn/download/downloadPopup.jsp?from=plwindow&amp;uu=/upload/window/REPORT/LGH-WA21-043.pdf","1등급")</f>
        <v>1등급</v>
      </c>
      <c r="P1387" s="5" t="s">
        <v>19</v>
      </c>
      <c r="Q1387" s="5" t="s">
        <v>19</v>
      </c>
      <c r="R1387" s="5" t="s">
        <v>19</v>
      </c>
      <c r="S1387" s="5" t="s">
        <v>19</v>
      </c>
      <c r="T1387" s="5" t="s">
        <v>19</v>
      </c>
      <c r="U1387" s="5" t="s">
        <v>19</v>
      </c>
      <c r="V1387" s="5" t="s">
        <v>19</v>
      </c>
      <c r="W1387" s="5" t="s">
        <v>152</v>
      </c>
      <c r="X1387"/>
    </row>
    <row r="1388" spans="1:24">
      <c r="A1388" t="s">
        <v>575</v>
      </c>
      <c r="B1388" t="s">
        <v>575</v>
      </c>
      <c r="C1388" t="s">
        <v>31</v>
      </c>
      <c r="D1388" t="s">
        <v>572</v>
      </c>
      <c r="E1388" t="s">
        <v>19</v>
      </c>
      <c r="F1388" t="s">
        <v>19</v>
      </c>
      <c r="G1388" t="s">
        <v>19</v>
      </c>
      <c r="H1388" t="s">
        <v>19</v>
      </c>
      <c r="I1388" t="s">
        <v>19</v>
      </c>
      <c r="J1388" t="s">
        <v>97</v>
      </c>
      <c r="K1388" s="21" t="s">
        <v>607</v>
      </c>
      <c r="L1388" s="5" t="s">
        <v>19</v>
      </c>
      <c r="M1388" s="5" t="s">
        <v>19</v>
      </c>
      <c r="N1388" s="5" t="s">
        <v>19</v>
      </c>
      <c r="O1388" s="5" t="str">
        <f>HYPERLINK("http://www.lghausys.co.kr/popup/rn/download/downloadPopup.jsp?from=plwindow&amp;uu=/upload/window/REPORT/LGH-WA21-044.pdf","1등급")</f>
        <v>1등급</v>
      </c>
      <c r="P1388" s="5" t="s">
        <v>19</v>
      </c>
      <c r="Q1388" s="5" t="s">
        <v>19</v>
      </c>
      <c r="R1388" s="5" t="s">
        <v>19</v>
      </c>
      <c r="S1388" s="5" t="s">
        <v>19</v>
      </c>
      <c r="T1388" s="5" t="s">
        <v>19</v>
      </c>
      <c r="U1388" s="5" t="s">
        <v>19</v>
      </c>
      <c r="V1388" s="5" t="s">
        <v>19</v>
      </c>
      <c r="W1388" s="5" t="s">
        <v>152</v>
      </c>
      <c r="X1388"/>
    </row>
    <row r="1389" spans="1:24">
      <c r="A1389" t="s">
        <v>62</v>
      </c>
      <c r="B1389" t="s">
        <v>62</v>
      </c>
      <c r="C1389" t="s">
        <v>31</v>
      </c>
      <c r="D1389" t="s">
        <v>28</v>
      </c>
      <c r="E1389" t="s">
        <v>19</v>
      </c>
      <c r="F1389" t="s">
        <v>19</v>
      </c>
      <c r="G1389" t="s">
        <v>19</v>
      </c>
      <c r="H1389" t="s">
        <v>28</v>
      </c>
      <c r="I1389" t="s">
        <v>19</v>
      </c>
      <c r="J1389" t="s">
        <v>74</v>
      </c>
      <c r="K1389" s="21" t="s">
        <v>607</v>
      </c>
      <c r="L1389" s="5" t="s">
        <v>19</v>
      </c>
      <c r="M1389" s="5" t="s">
        <v>19</v>
      </c>
      <c r="N1389" s="5" t="s">
        <v>19</v>
      </c>
      <c r="O1389" s="5" t="str">
        <f>HYPERLINK("http://www.lghausys.co.kr/popup/rn/download/downloadPopup.jsp?from=plwindow&amp;uu=/upload/window/REPORT/LGH-WA21-046.pdf","1등급")</f>
        <v>1등급</v>
      </c>
      <c r="P1389" s="5" t="s">
        <v>19</v>
      </c>
      <c r="Q1389" s="5" t="s">
        <v>19</v>
      </c>
      <c r="R1389" s="5" t="s">
        <v>19</v>
      </c>
      <c r="S1389" s="5" t="s">
        <v>19</v>
      </c>
      <c r="T1389" s="5" t="s">
        <v>19</v>
      </c>
      <c r="U1389" s="5" t="s">
        <v>19</v>
      </c>
      <c r="V1389" s="5" t="s">
        <v>19</v>
      </c>
      <c r="W1389" s="5" t="s">
        <v>152</v>
      </c>
      <c r="X1389"/>
    </row>
    <row r="1390" spans="1:24">
      <c r="A1390" t="s">
        <v>52</v>
      </c>
      <c r="B1390" t="s">
        <v>52</v>
      </c>
      <c r="C1390" t="s">
        <v>31</v>
      </c>
      <c r="D1390" t="s">
        <v>25</v>
      </c>
      <c r="E1390" t="s">
        <v>19</v>
      </c>
      <c r="F1390" t="s">
        <v>19</v>
      </c>
      <c r="G1390" t="s">
        <v>19</v>
      </c>
      <c r="H1390" t="s">
        <v>28</v>
      </c>
      <c r="I1390" t="s">
        <v>19</v>
      </c>
      <c r="J1390" t="s">
        <v>99</v>
      </c>
      <c r="K1390" s="21" t="s">
        <v>607</v>
      </c>
      <c r="L1390" s="5" t="s">
        <v>19</v>
      </c>
      <c r="M1390" s="5" t="s">
        <v>19</v>
      </c>
      <c r="N1390" s="5" t="s">
        <v>19</v>
      </c>
      <c r="O1390" s="5" t="str">
        <f>HYPERLINK("http://www.lghausys.co.kr/popup/rn/download/downloadPopup.jsp?from=plwindow&amp;uu=/upload/window/REPORT/LGH-WA21-047.pdf","1등급")</f>
        <v>1등급</v>
      </c>
      <c r="P1390" s="5" t="s">
        <v>19</v>
      </c>
      <c r="Q1390" s="5" t="s">
        <v>19</v>
      </c>
      <c r="R1390" s="5" t="s">
        <v>19</v>
      </c>
      <c r="S1390" s="5" t="s">
        <v>19</v>
      </c>
      <c r="T1390" s="5" t="s">
        <v>19</v>
      </c>
      <c r="U1390" s="5" t="s">
        <v>19</v>
      </c>
      <c r="V1390" s="5" t="s">
        <v>19</v>
      </c>
      <c r="W1390" s="5" t="s">
        <v>152</v>
      </c>
      <c r="X1390"/>
    </row>
    <row r="1391" spans="1:24">
      <c r="A1391" t="s">
        <v>30</v>
      </c>
      <c r="B1391" t="s">
        <v>30</v>
      </c>
      <c r="C1391" t="s">
        <v>31</v>
      </c>
      <c r="D1391" t="s">
        <v>25</v>
      </c>
      <c r="E1391" t="s">
        <v>19</v>
      </c>
      <c r="F1391" t="s">
        <v>19</v>
      </c>
      <c r="G1391" t="s">
        <v>19</v>
      </c>
      <c r="H1391" t="s">
        <v>64</v>
      </c>
      <c r="I1391" t="s">
        <v>19</v>
      </c>
      <c r="J1391" t="s">
        <v>145</v>
      </c>
      <c r="K1391" s="21" t="s">
        <v>607</v>
      </c>
      <c r="L1391" s="5" t="s">
        <v>19</v>
      </c>
      <c r="M1391" s="5" t="s">
        <v>19</v>
      </c>
      <c r="N1391" s="5" t="s">
        <v>19</v>
      </c>
      <c r="O1391" s="5" t="str">
        <f>HYPERLINK("http://www.lghausys.co.kr/popup/rn/download/downloadPopup.jsp?from=plwindow&amp;uu=/upload/window/REPORT/LGH-WA21-057.pdf","1등급")</f>
        <v>1등급</v>
      </c>
      <c r="P1391" s="5" t="str">
        <f>HYPERLINK("http://www.lghausys.co.kr/popup/rn/download/downloadPopup.jsp?from=plwindow&amp;uu=/upload/window/REPORT/LGH-WA21-057.pdf","50등급")</f>
        <v>50등급</v>
      </c>
      <c r="Q1391" s="5" t="str">
        <f>HYPERLINK("http://www.lghausys.co.kr/popup/rn/download/downloadPopup.jsp?from=plwindow&amp;uu=/upload/window/REPORT/LGH-WA21-057.pdf","360등급")</f>
        <v>360등급</v>
      </c>
      <c r="R1391" s="5" t="s">
        <v>19</v>
      </c>
      <c r="S1391" s="5" t="s">
        <v>19</v>
      </c>
      <c r="T1391" s="5" t="s">
        <v>19</v>
      </c>
      <c r="U1391" s="5" t="s">
        <v>19</v>
      </c>
      <c r="V1391" s="5" t="s">
        <v>19</v>
      </c>
      <c r="W1391" s="5" t="s">
        <v>152</v>
      </c>
      <c r="X1391"/>
    </row>
    <row r="1392" spans="1:24">
      <c r="A1392" t="s">
        <v>78</v>
      </c>
      <c r="B1392" t="s">
        <v>78</v>
      </c>
      <c r="C1392" t="s">
        <v>31</v>
      </c>
      <c r="D1392" t="s">
        <v>64</v>
      </c>
      <c r="E1392" t="s">
        <v>574</v>
      </c>
      <c r="F1392" t="s">
        <v>19</v>
      </c>
      <c r="G1392" t="s">
        <v>19</v>
      </c>
      <c r="H1392" t="s">
        <v>19</v>
      </c>
      <c r="I1392" t="s">
        <v>19</v>
      </c>
      <c r="J1392" t="s">
        <v>145</v>
      </c>
      <c r="K1392" s="21" t="s">
        <v>607</v>
      </c>
      <c r="L1392" s="5" t="s">
        <v>19</v>
      </c>
      <c r="M1392" s="5" t="s">
        <v>19</v>
      </c>
      <c r="N1392" s="5" t="s">
        <v>19</v>
      </c>
      <c r="O1392" s="5" t="str">
        <f>HYPERLINK("http://www.lghausys.co.kr/popup/rn/download/downloadPopup.jsp?from=plwindow&amp;uu=/upload/window/REPORT/LGH-WA21-058.pdf","2등급")</f>
        <v>2등급</v>
      </c>
      <c r="P1392" s="5" t="str">
        <f>HYPERLINK("http://www.lghausys.co.kr/popup/rn/download/downloadPopup.jsp?from=plwindow&amp;uu=/upload/window/REPORT/LGH-WA21-058.pdf","15등급")</f>
        <v>15등급</v>
      </c>
      <c r="Q1392" s="5" t="str">
        <f>HYPERLINK("http://www.lghausys.co.kr/popup/rn/download/downloadPopup.jsp?from=plwindow&amp;uu=/upload/window/REPORT/LGH-WA21-058.pdf","280등급")</f>
        <v>280등급</v>
      </c>
      <c r="R1392" s="5" t="s">
        <v>19</v>
      </c>
      <c r="S1392" s="5" t="s">
        <v>19</v>
      </c>
      <c r="T1392" s="5" t="s">
        <v>19</v>
      </c>
      <c r="U1392" s="5" t="s">
        <v>19</v>
      </c>
      <c r="V1392" s="5" t="s">
        <v>19</v>
      </c>
      <c r="W1392" s="5" t="s">
        <v>152</v>
      </c>
      <c r="X1392"/>
    </row>
    <row r="1393" spans="1:24">
      <c r="A1393" t="s">
        <v>27</v>
      </c>
      <c r="B1393" t="s">
        <v>27</v>
      </c>
      <c r="C1393" t="s">
        <v>31</v>
      </c>
      <c r="D1393" t="s">
        <v>25</v>
      </c>
      <c r="E1393" t="s">
        <v>530</v>
      </c>
      <c r="F1393" t="s">
        <v>19</v>
      </c>
      <c r="G1393" t="s">
        <v>19</v>
      </c>
      <c r="H1393" t="s">
        <v>64</v>
      </c>
      <c r="I1393" t="s">
        <v>19</v>
      </c>
      <c r="J1393" t="s">
        <v>145</v>
      </c>
      <c r="K1393" s="21" t="s">
        <v>607</v>
      </c>
      <c r="L1393" s="5" t="s">
        <v>19</v>
      </c>
      <c r="M1393" s="5" t="s">
        <v>19</v>
      </c>
      <c r="N1393" s="5" t="s">
        <v>19</v>
      </c>
      <c r="O1393" s="5" t="str">
        <f>HYPERLINK("http://www.lghausys.co.kr/popup/rn/download/downloadPopup.jsp?from=plwindow&amp;uu=/upload/window/REPORT/LGH-WA21-059.pdf","1등급")</f>
        <v>1등급</v>
      </c>
      <c r="P1393" s="5" t="str">
        <f>HYPERLINK("http://www.lghausys.co.kr/popup/rn/download/downloadPopup.jsp?from=plwindow&amp;uu=/upload/window/REPORT/LGH-WA21-059.pdf","50등급")</f>
        <v>50등급</v>
      </c>
      <c r="Q1393" s="5" t="str">
        <f>HYPERLINK("http://www.lghausys.co.kr/popup/rn/download/downloadPopup.jsp?from=plwindow&amp;uu=/upload/window/REPORT/LGH-WA21-059.pdf","360등급")</f>
        <v>360등급</v>
      </c>
      <c r="R1393" s="5" t="s">
        <v>19</v>
      </c>
      <c r="S1393" s="5" t="s">
        <v>19</v>
      </c>
      <c r="T1393" s="5" t="s">
        <v>19</v>
      </c>
      <c r="U1393" s="5" t="s">
        <v>19</v>
      </c>
      <c r="V1393" s="5" t="s">
        <v>19</v>
      </c>
      <c r="W1393" s="5" t="s">
        <v>152</v>
      </c>
      <c r="X1393"/>
    </row>
    <row r="1394" spans="1:24">
      <c r="A1394" t="s">
        <v>125</v>
      </c>
      <c r="B1394" t="s">
        <v>125</v>
      </c>
      <c r="C1394" t="s">
        <v>31</v>
      </c>
      <c r="D1394" t="s">
        <v>25</v>
      </c>
      <c r="E1394" t="s">
        <v>19</v>
      </c>
      <c r="F1394" t="s">
        <v>19</v>
      </c>
      <c r="G1394" t="s">
        <v>19</v>
      </c>
      <c r="H1394" t="s">
        <v>19</v>
      </c>
      <c r="I1394" t="s">
        <v>19</v>
      </c>
      <c r="J1394" t="s">
        <v>74</v>
      </c>
      <c r="K1394" s="21" t="s">
        <v>607</v>
      </c>
      <c r="L1394" s="5" t="s">
        <v>19</v>
      </c>
      <c r="M1394" s="5" t="s">
        <v>19</v>
      </c>
      <c r="N1394" s="5" t="s">
        <v>19</v>
      </c>
      <c r="O1394" s="5" t="str">
        <f>HYPERLINK("http://www.lghausys.co.kr/popup/rn/download/downloadPopup.jsp?from=plwindow&amp;uu=/upload/window/REPORT/LGH-WA21-061.pdf","2등급")</f>
        <v>2등급</v>
      </c>
      <c r="P1394" s="5" t="s">
        <v>19</v>
      </c>
      <c r="Q1394" s="5" t="s">
        <v>19</v>
      </c>
      <c r="R1394" s="5" t="s">
        <v>19</v>
      </c>
      <c r="S1394" s="5" t="s">
        <v>19</v>
      </c>
      <c r="T1394" s="5" t="s">
        <v>19</v>
      </c>
      <c r="U1394" s="5" t="s">
        <v>19</v>
      </c>
      <c r="V1394" s="5" t="s">
        <v>19</v>
      </c>
      <c r="W1394" s="5" t="s">
        <v>152</v>
      </c>
      <c r="X1394"/>
    </row>
    <row r="1395" spans="1:24">
      <c r="A1395" t="s">
        <v>49</v>
      </c>
      <c r="B1395" t="s">
        <v>49</v>
      </c>
      <c r="C1395" t="s">
        <v>31</v>
      </c>
      <c r="D1395" t="s">
        <v>28</v>
      </c>
      <c r="E1395" t="s">
        <v>19</v>
      </c>
      <c r="F1395" t="s">
        <v>19</v>
      </c>
      <c r="G1395" t="s">
        <v>19</v>
      </c>
      <c r="H1395" t="s">
        <v>19</v>
      </c>
      <c r="I1395" t="s">
        <v>19</v>
      </c>
      <c r="J1395" t="s">
        <v>74</v>
      </c>
      <c r="K1395" s="21" t="s">
        <v>607</v>
      </c>
      <c r="L1395" s="5" t="s">
        <v>19</v>
      </c>
      <c r="M1395" s="5" t="s">
        <v>19</v>
      </c>
      <c r="N1395" s="5" t="s">
        <v>19</v>
      </c>
      <c r="O1395" s="5" t="str">
        <f>HYPERLINK("http://www.lghausys.co.kr/popup/rn/download/downloadPopup.jsp?from=plwindow&amp;uu=/upload/window/REPORT/LGH-WA21-062.pdf","2등급")</f>
        <v>2등급</v>
      </c>
      <c r="P1395" s="5" t="s">
        <v>19</v>
      </c>
      <c r="Q1395" s="5" t="s">
        <v>19</v>
      </c>
      <c r="R1395" s="5" t="s">
        <v>19</v>
      </c>
      <c r="S1395" s="5" t="s">
        <v>19</v>
      </c>
      <c r="T1395" s="5" t="s">
        <v>19</v>
      </c>
      <c r="U1395" s="5" t="s">
        <v>19</v>
      </c>
      <c r="V1395" s="5" t="s">
        <v>19</v>
      </c>
      <c r="W1395" s="5" t="s">
        <v>152</v>
      </c>
      <c r="X1395"/>
    </row>
    <row r="1396" spans="1:24">
      <c r="A1396" t="s">
        <v>27</v>
      </c>
      <c r="B1396" t="s">
        <v>27</v>
      </c>
      <c r="C1396" t="s">
        <v>31</v>
      </c>
      <c r="D1396" t="s">
        <v>25</v>
      </c>
      <c r="E1396" t="s">
        <v>178</v>
      </c>
      <c r="F1396" t="s">
        <v>19</v>
      </c>
      <c r="G1396" t="s">
        <v>19</v>
      </c>
      <c r="H1396" t="s">
        <v>28</v>
      </c>
      <c r="I1396" t="s">
        <v>19</v>
      </c>
      <c r="J1396" t="s">
        <v>97</v>
      </c>
      <c r="K1396" s="21" t="s">
        <v>607</v>
      </c>
      <c r="L1396" s="5" t="s">
        <v>19</v>
      </c>
      <c r="M1396" s="5" t="s">
        <v>19</v>
      </c>
      <c r="N1396" s="5" t="s">
        <v>19</v>
      </c>
      <c r="O1396" s="5" t="str">
        <f>HYPERLINK("http://www.lghausys.co.kr/popup/rn/download/downloadPopup.jsp?from=plwindow&amp;uu=/upload/window/REPORT/LGH-WA21-063.pdf","1등급")</f>
        <v>1등급</v>
      </c>
      <c r="P1396" s="5" t="s">
        <v>19</v>
      </c>
      <c r="Q1396" s="5" t="s">
        <v>19</v>
      </c>
      <c r="R1396" s="5" t="s">
        <v>19</v>
      </c>
      <c r="S1396" s="5" t="s">
        <v>19</v>
      </c>
      <c r="T1396" s="5" t="s">
        <v>19</v>
      </c>
      <c r="U1396" s="5" t="s">
        <v>19</v>
      </c>
      <c r="V1396" s="5" t="s">
        <v>19</v>
      </c>
      <c r="W1396" s="5" t="s">
        <v>152</v>
      </c>
      <c r="X1396"/>
    </row>
    <row r="1397" spans="1:24">
      <c r="A1397" t="s">
        <v>559</v>
      </c>
      <c r="B1397" t="s">
        <v>559</v>
      </c>
      <c r="C1397" t="s">
        <v>31</v>
      </c>
      <c r="D1397" t="s">
        <v>576</v>
      </c>
      <c r="E1397" t="s">
        <v>561</v>
      </c>
      <c r="F1397" t="s">
        <v>19</v>
      </c>
      <c r="G1397" t="s">
        <v>19</v>
      </c>
      <c r="H1397" t="s">
        <v>19</v>
      </c>
      <c r="I1397" t="s">
        <v>19</v>
      </c>
      <c r="J1397" t="s">
        <v>74</v>
      </c>
      <c r="K1397" s="21" t="s">
        <v>607</v>
      </c>
      <c r="L1397" s="5" t="s">
        <v>19</v>
      </c>
      <c r="M1397" s="5" t="s">
        <v>19</v>
      </c>
      <c r="N1397" s="5" t="s">
        <v>19</v>
      </c>
      <c r="O1397" s="5" t="str">
        <f>HYPERLINK("http://www.lghausys.co.kr/popup/rn/download/downloadPopup.jsp?from=plwindow&amp;uu=/upload/window/REPORT/LGH-WA21-064.pdf","2등급")</f>
        <v>2등급</v>
      </c>
      <c r="P1397" s="5" t="s">
        <v>19</v>
      </c>
      <c r="Q1397" s="5" t="s">
        <v>19</v>
      </c>
      <c r="R1397" s="5" t="s">
        <v>19</v>
      </c>
      <c r="S1397" s="5" t="s">
        <v>19</v>
      </c>
      <c r="T1397" s="5" t="s">
        <v>19</v>
      </c>
      <c r="U1397" s="5" t="s">
        <v>19</v>
      </c>
      <c r="V1397" s="5" t="s">
        <v>19</v>
      </c>
      <c r="W1397" s="5" t="s">
        <v>152</v>
      </c>
      <c r="X1397"/>
    </row>
    <row r="1398" spans="1:24">
      <c r="A1398" t="s">
        <v>78</v>
      </c>
      <c r="B1398" t="s">
        <v>78</v>
      </c>
      <c r="C1398" t="s">
        <v>31</v>
      </c>
      <c r="D1398" t="s">
        <v>28</v>
      </c>
      <c r="E1398" t="s">
        <v>558</v>
      </c>
      <c r="F1398" t="s">
        <v>19</v>
      </c>
      <c r="G1398" t="s">
        <v>19</v>
      </c>
      <c r="H1398" t="s">
        <v>19</v>
      </c>
      <c r="I1398" t="s">
        <v>19</v>
      </c>
      <c r="J1398" t="s">
        <v>74</v>
      </c>
      <c r="K1398" s="21" t="s">
        <v>607</v>
      </c>
      <c r="L1398" s="5" t="s">
        <v>19</v>
      </c>
      <c r="M1398" s="5" t="s">
        <v>19</v>
      </c>
      <c r="N1398" s="5" t="s">
        <v>19</v>
      </c>
      <c r="O1398" s="5" t="str">
        <f>HYPERLINK("http://www.lghausys.co.kr/popup/rn/download/downloadPopup.jsp?from=plwindow&amp;uu=/upload/window/REPORT/LGH-WA21-066.pdf","2등급")</f>
        <v>2등급</v>
      </c>
      <c r="P1398" s="5" t="s">
        <v>19</v>
      </c>
      <c r="Q1398" s="5" t="s">
        <v>19</v>
      </c>
      <c r="R1398" s="5" t="s">
        <v>19</v>
      </c>
      <c r="S1398" s="5" t="s">
        <v>19</v>
      </c>
      <c r="T1398" s="5" t="s">
        <v>19</v>
      </c>
      <c r="U1398" s="5" t="s">
        <v>19</v>
      </c>
      <c r="V1398" s="5" t="s">
        <v>19</v>
      </c>
      <c r="W1398" s="5" t="s">
        <v>152</v>
      </c>
      <c r="X1398"/>
    </row>
    <row r="1399" spans="1:24">
      <c r="A1399" t="s">
        <v>27</v>
      </c>
      <c r="B1399" t="s">
        <v>27</v>
      </c>
      <c r="C1399" t="s">
        <v>31</v>
      </c>
      <c r="D1399" t="s">
        <v>25</v>
      </c>
      <c r="E1399" t="s">
        <v>178</v>
      </c>
      <c r="F1399" t="s">
        <v>19</v>
      </c>
      <c r="G1399" t="s">
        <v>19</v>
      </c>
      <c r="H1399" t="s">
        <v>25</v>
      </c>
      <c r="I1399" t="s">
        <v>19</v>
      </c>
      <c r="J1399" t="s">
        <v>74</v>
      </c>
      <c r="K1399" s="21" t="s">
        <v>607</v>
      </c>
      <c r="L1399" s="5" t="s">
        <v>19</v>
      </c>
      <c r="M1399" s="5" t="s">
        <v>19</v>
      </c>
      <c r="N1399" s="5" t="s">
        <v>19</v>
      </c>
      <c r="O1399" s="5" t="str">
        <f>HYPERLINK("http://www.lghausys.co.kr/popup/rn/download/downloadPopup.jsp?from=plwindow&amp;uu=/upload/window/REPORT/LGH-WA21-067.pdf","1등급")</f>
        <v>1등급</v>
      </c>
      <c r="P1399" s="5" t="s">
        <v>19</v>
      </c>
      <c r="Q1399" s="5" t="s">
        <v>19</v>
      </c>
      <c r="R1399" s="5" t="s">
        <v>19</v>
      </c>
      <c r="S1399" s="5" t="s">
        <v>19</v>
      </c>
      <c r="T1399" s="5" t="s">
        <v>19</v>
      </c>
      <c r="U1399" s="5" t="s">
        <v>19</v>
      </c>
      <c r="V1399" s="5" t="s">
        <v>19</v>
      </c>
      <c r="W1399" s="5" t="s">
        <v>152</v>
      </c>
      <c r="X1399"/>
    </row>
    <row r="1400" spans="1:24">
      <c r="A1400" t="s">
        <v>577</v>
      </c>
      <c r="B1400" t="s">
        <v>577</v>
      </c>
      <c r="C1400" t="s">
        <v>31</v>
      </c>
      <c r="D1400" t="s">
        <v>204</v>
      </c>
      <c r="E1400" t="s">
        <v>19</v>
      </c>
      <c r="F1400" t="s">
        <v>68</v>
      </c>
      <c r="G1400" t="s">
        <v>182</v>
      </c>
      <c r="H1400" t="s">
        <v>68</v>
      </c>
      <c r="I1400" t="s">
        <v>19</v>
      </c>
      <c r="J1400" t="s">
        <v>97</v>
      </c>
      <c r="K1400" s="21" t="s">
        <v>607</v>
      </c>
      <c r="L1400" s="5" t="s">
        <v>19</v>
      </c>
      <c r="M1400" s="5" t="s">
        <v>19</v>
      </c>
      <c r="N1400" s="5" t="s">
        <v>19</v>
      </c>
      <c r="O1400" s="5" t="str">
        <f>HYPERLINK("http://www.lghausys.co.kr/popup/rn/download/downloadPopup.jsp?from=plwindow&amp;uu=/upload/window/REPORT/LGH-WA21-068.pdf","1등급")</f>
        <v>1등급</v>
      </c>
      <c r="P1400" s="5" t="str">
        <f>HYPERLINK("http://www.lghausys.co.kr/popup/rn/download/downloadPopup.jsp?from=plwindow&amp;uu=/upload/window/REPORT/LGH-WA21-068.pdf","50등급")</f>
        <v>50등급</v>
      </c>
      <c r="Q1400" s="5" t="str">
        <f>HYPERLINK("http://www.lghausys.co.kr/popup/rn/download/downloadPopup.jsp?from=plwindow&amp;uu=/upload/window/REPORT/LGH-WA21-068.pdf","400등급")</f>
        <v>400등급</v>
      </c>
      <c r="R1400" s="5" t="s">
        <v>19</v>
      </c>
      <c r="S1400" s="5" t="s">
        <v>19</v>
      </c>
      <c r="T1400" s="5" t="s">
        <v>19</v>
      </c>
      <c r="U1400" s="5" t="s">
        <v>19</v>
      </c>
      <c r="V1400" s="5" t="s">
        <v>19</v>
      </c>
      <c r="W1400" s="5" t="s">
        <v>152</v>
      </c>
      <c r="X1400"/>
    </row>
    <row r="1401" spans="1:24">
      <c r="A1401" t="s">
        <v>520</v>
      </c>
      <c r="B1401" t="s">
        <v>520</v>
      </c>
      <c r="C1401" t="s">
        <v>20</v>
      </c>
      <c r="D1401" t="s">
        <v>126</v>
      </c>
      <c r="E1401" t="s">
        <v>19</v>
      </c>
      <c r="F1401" t="s">
        <v>19</v>
      </c>
      <c r="G1401" t="s">
        <v>19</v>
      </c>
      <c r="H1401" t="s">
        <v>19</v>
      </c>
      <c r="I1401" t="s">
        <v>19</v>
      </c>
      <c r="J1401" t="s">
        <v>184</v>
      </c>
      <c r="K1401" s="21" t="str">
        <f>IF(X1401&lt;=0.9,HYPERLINK("http://www.lxhausys.co.kr/popup/rn/download/downloadPopup.jsp?from=plwindow&amp;uu=/upload/window/REPORT/LGH-TW21-025.pdf","1등급"),IF(X1401&lt;=1.2,HYPERLINK("http://www.lxhausys.co.kr/popup/rn/download/downloadPopup.jsp?from=plwindow&amp;uu=/upload/window/REPORT/LGH-TW21-025.pdf","2등급"),IF(X1401&lt;=1.8,HYPERLINK("http://www.lxhausys.co.kr/popup/rn/download/downloadPopup.jsp?from=plwindow&amp;uu=/upload/window/REPORT/LGH-TW21-025.pdf","3등급"),IF(X1401&lt;=2.3,HYPERLINK("http://www.lxhausys.co.kr/popup/rn/download/downloadPopup.jsp?from=plwindow&amp;uu=/upload/window/REPORT/LGH-TW21-025.pdf","4등급"),IF(X1401&lt;=2.8,HYPERLINK("http://www.lxhausys.co.kr/popup/rn/download/downloadPopup.jsp?from=plwindow&amp;uu=/upload/window/REPORT/LGH-TW21-025.pdf","5등급"),HYPERLINK("http://www.lxhausys.co.kr/popup/rn/download/downloadPopup.jsp?from=plwindow&amp;uu=/upload/window/REPORT/LGH-TW21-025.pdf","등급외"))))))</f>
        <v>3등급</v>
      </c>
      <c r="L1401" s="5">
        <v>1.613</v>
      </c>
      <c r="M1401" s="5" t="s">
        <v>514</v>
      </c>
      <c r="N1401" s="5" t="s">
        <v>607</v>
      </c>
      <c r="O1401" s="5" t="s">
        <v>19</v>
      </c>
      <c r="P1401" s="5" t="s">
        <v>19</v>
      </c>
      <c r="Q1401" s="5" t="s">
        <v>19</v>
      </c>
      <c r="R1401" s="5" t="s">
        <v>19</v>
      </c>
      <c r="S1401" s="5" t="s">
        <v>19</v>
      </c>
      <c r="T1401" s="5" t="s">
        <v>19</v>
      </c>
      <c r="U1401" s="5" t="s">
        <v>19</v>
      </c>
      <c r="V1401" s="5" t="s">
        <v>19</v>
      </c>
      <c r="W1401" s="5" t="s">
        <v>19</v>
      </c>
      <c r="X1401" s="19">
        <f t="shared" ref="X1401:X1415" si="16">L1401</f>
        <v>1.613</v>
      </c>
    </row>
    <row r="1402" spans="1:24">
      <c r="A1402" t="s">
        <v>522</v>
      </c>
      <c r="B1402" t="s">
        <v>522</v>
      </c>
      <c r="C1402" t="s">
        <v>20</v>
      </c>
      <c r="D1402" t="s">
        <v>126</v>
      </c>
      <c r="E1402" t="s">
        <v>19</v>
      </c>
      <c r="F1402" t="s">
        <v>19</v>
      </c>
      <c r="G1402" t="s">
        <v>19</v>
      </c>
      <c r="H1402" t="s">
        <v>19</v>
      </c>
      <c r="I1402" t="s">
        <v>19</v>
      </c>
      <c r="J1402" t="s">
        <v>184</v>
      </c>
      <c r="K1402" s="21" t="str">
        <f>IF(X1402&lt;=0.9,HYPERLINK("http://www.lxhausys.co.kr/popup/rn/download/downloadPopup.jsp?from=plwindow&amp;uu=/upload/window/REPORT/LGH-TW21-026.pdf","1등급"),IF(X1402&lt;=1.2,HYPERLINK("http://www.lxhausys.co.kr/popup/rn/download/downloadPopup.jsp?from=plwindow&amp;uu=/upload/window/REPORT/LGH-TW21-026.pdf","2등급"),IF(X1402&lt;=1.8,HYPERLINK("http://www.lxhausys.co.kr/popup/rn/download/downloadPopup.jsp?from=plwindow&amp;uu=/upload/window/REPORT/LGH-TW21-026.pdf","3등급"),IF(X1402&lt;=2.3,HYPERLINK("http://www.lxhausys.co.kr/popup/rn/download/downloadPopup.jsp?from=plwindow&amp;uu=/upload/window/REPORT/LGH-TW21-026.pdf","4등급"),IF(X1402&lt;=2.8,HYPERLINK("http://www.lxhausys.co.kr/popup/rn/download/downloadPopup.jsp?from=plwindow&amp;uu=/upload/window/REPORT/LGH-TW21-026.pdf","5등급"),HYPERLINK("http://www.lxhausys.co.kr/popup/rn/download/downloadPopup.jsp?from=plwindow&amp;uu=/upload/window/REPORT/LGH-TW21-026.pdf","등급외"))))))</f>
        <v>3등급</v>
      </c>
      <c r="L1402" s="5">
        <v>1.595</v>
      </c>
      <c r="M1402" s="5" t="s">
        <v>578</v>
      </c>
      <c r="N1402" s="5" t="s">
        <v>607</v>
      </c>
      <c r="O1402" s="5" t="s">
        <v>19</v>
      </c>
      <c r="P1402" s="5" t="s">
        <v>19</v>
      </c>
      <c r="Q1402" s="5" t="s">
        <v>19</v>
      </c>
      <c r="R1402" s="5" t="s">
        <v>19</v>
      </c>
      <c r="S1402" s="5" t="s">
        <v>19</v>
      </c>
      <c r="T1402" s="5" t="s">
        <v>19</v>
      </c>
      <c r="U1402" s="5" t="s">
        <v>19</v>
      </c>
      <c r="V1402" s="5" t="s">
        <v>19</v>
      </c>
      <c r="W1402" s="5" t="s">
        <v>19</v>
      </c>
      <c r="X1402" s="19">
        <f t="shared" si="16"/>
        <v>1.595</v>
      </c>
    </row>
    <row r="1403" spans="1:24">
      <c r="A1403" t="s">
        <v>485</v>
      </c>
      <c r="B1403" t="s">
        <v>485</v>
      </c>
      <c r="C1403" t="s">
        <v>20</v>
      </c>
      <c r="D1403" t="s">
        <v>126</v>
      </c>
      <c r="E1403" t="s">
        <v>19</v>
      </c>
      <c r="F1403" t="s">
        <v>19</v>
      </c>
      <c r="G1403" t="s">
        <v>19</v>
      </c>
      <c r="H1403" t="s">
        <v>19</v>
      </c>
      <c r="I1403" t="s">
        <v>19</v>
      </c>
      <c r="J1403" t="s">
        <v>184</v>
      </c>
      <c r="K1403" s="21" t="str">
        <f>IF(X1403&lt;=0.9,HYPERLINK("http://www.lxhausys.co.kr/popup/rn/download/downloadPopup.jsp?from=plwindow&amp;uu=/upload/window/REPORT/LGH-TW21-027.pdf","1등급"),IF(X1403&lt;=1.2,HYPERLINK("http://www.lxhausys.co.kr/popup/rn/download/downloadPopup.jsp?from=plwindow&amp;uu=/upload/window/REPORT/LGH-TW21-027.pdf","2등급"),IF(X1403&lt;=1.8,HYPERLINK("http://www.lxhausys.co.kr/popup/rn/download/downloadPopup.jsp?from=plwindow&amp;uu=/upload/window/REPORT/LGH-TW21-027.pdf","3등급"),IF(X1403&lt;=2.3,HYPERLINK("http://www.lxhausys.co.kr/popup/rn/download/downloadPopup.jsp?from=plwindow&amp;uu=/upload/window/REPORT/LGH-TW21-027.pdf","4등급"),IF(X1403&lt;=2.8,HYPERLINK("http://www.lxhausys.co.kr/popup/rn/download/downloadPopup.jsp?from=plwindow&amp;uu=/upload/window/REPORT/LGH-TW21-027.pdf","5등급"),HYPERLINK("http://www.lxhausys.co.kr/popup/rn/download/downloadPopup.jsp?from=plwindow&amp;uu=/upload/window/REPORT/LGH-TW21-027.pdf","등급외"))))))</f>
        <v>3등급</v>
      </c>
      <c r="L1403" s="5">
        <v>1.5820000000000001</v>
      </c>
      <c r="M1403" s="5" t="s">
        <v>579</v>
      </c>
      <c r="N1403" s="5" t="s">
        <v>607</v>
      </c>
      <c r="O1403" s="5" t="s">
        <v>19</v>
      </c>
      <c r="P1403" s="5" t="s">
        <v>19</v>
      </c>
      <c r="Q1403" s="5" t="s">
        <v>19</v>
      </c>
      <c r="R1403" s="5" t="s">
        <v>19</v>
      </c>
      <c r="S1403" s="5" t="s">
        <v>19</v>
      </c>
      <c r="T1403" s="5" t="s">
        <v>19</v>
      </c>
      <c r="U1403" s="5" t="s">
        <v>19</v>
      </c>
      <c r="V1403" s="5" t="s">
        <v>19</v>
      </c>
      <c r="W1403" s="5" t="s">
        <v>19</v>
      </c>
      <c r="X1403" s="19">
        <f t="shared" si="16"/>
        <v>1.5820000000000001</v>
      </c>
    </row>
    <row r="1404" spans="1:24">
      <c r="A1404" t="s">
        <v>577</v>
      </c>
      <c r="B1404" t="s">
        <v>577</v>
      </c>
      <c r="C1404" t="s">
        <v>20</v>
      </c>
      <c r="D1404" t="s">
        <v>204</v>
      </c>
      <c r="E1404" t="s">
        <v>19</v>
      </c>
      <c r="F1404" t="s">
        <v>580</v>
      </c>
      <c r="G1404" t="s">
        <v>182</v>
      </c>
      <c r="H1404" t="s">
        <v>102</v>
      </c>
      <c r="I1404" t="s">
        <v>19</v>
      </c>
      <c r="J1404" t="s">
        <v>97</v>
      </c>
      <c r="K1404" s="21" t="str">
        <f>IF(X1404&lt;=0.9,HYPERLINK("http://www.lxhausys.co.kr/popup/rn/download/downloadPopup.jsp?from=plwindow&amp;uu=/upload/window/REPORT/LGH-TW21-028.pdf","1등급"),IF(X1404&lt;=1.2,HYPERLINK("http://www.lxhausys.co.kr/popup/rn/download/downloadPopup.jsp?from=plwindow&amp;uu=/upload/window/REPORT/LGH-TW21-028.pdf","2등급"),IF(X1404&lt;=1.8,HYPERLINK("http://www.lxhausys.co.kr/popup/rn/download/downloadPopup.jsp?from=plwindow&amp;uu=/upload/window/REPORT/LGH-TW21-028.pdf","3등급"),IF(X1404&lt;=2.3,HYPERLINK("http://www.lxhausys.co.kr/popup/rn/download/downloadPopup.jsp?from=plwindow&amp;uu=/upload/window/REPORT/LGH-TW21-028.pdf","4등급"),IF(X1404&lt;=2.8,HYPERLINK("http://www.lxhausys.co.kr/popup/rn/download/downloadPopup.jsp?from=plwindow&amp;uu=/upload/window/REPORT/LGH-TW21-028.pdf","5등급"),HYPERLINK("http://www.lxhausys.co.kr/popup/rn/download/downloadPopup.jsp?from=plwindow&amp;uu=/upload/window/REPORT/LGH-TW21-028.pdf","등급외"))))))</f>
        <v>1등급</v>
      </c>
      <c r="L1404" s="5">
        <v>0.82</v>
      </c>
      <c r="M1404" s="5" t="s">
        <v>568</v>
      </c>
      <c r="N1404" s="5" t="s">
        <v>607</v>
      </c>
      <c r="O1404" s="5" t="s">
        <v>19</v>
      </c>
      <c r="P1404" s="5" t="s">
        <v>19</v>
      </c>
      <c r="Q1404" s="5" t="s">
        <v>19</v>
      </c>
      <c r="R1404" s="5" t="s">
        <v>19</v>
      </c>
      <c r="S1404" s="5" t="s">
        <v>19</v>
      </c>
      <c r="T1404" s="5" t="s">
        <v>19</v>
      </c>
      <c r="U1404" s="5" t="s">
        <v>19</v>
      </c>
      <c r="V1404" s="5" t="s">
        <v>19</v>
      </c>
      <c r="W1404" s="5" t="s">
        <v>19</v>
      </c>
      <c r="X1404" s="19">
        <f t="shared" si="16"/>
        <v>0.82</v>
      </c>
    </row>
    <row r="1405" spans="1:24">
      <c r="A1405" t="s">
        <v>62</v>
      </c>
      <c r="B1405" t="s">
        <v>62</v>
      </c>
      <c r="C1405" t="s">
        <v>20</v>
      </c>
      <c r="D1405" t="s">
        <v>68</v>
      </c>
      <c r="E1405" t="s">
        <v>19</v>
      </c>
      <c r="F1405" t="s">
        <v>19</v>
      </c>
      <c r="G1405" t="s">
        <v>19</v>
      </c>
      <c r="H1405" t="s">
        <v>237</v>
      </c>
      <c r="I1405" t="s">
        <v>19</v>
      </c>
      <c r="J1405" t="s">
        <v>74</v>
      </c>
      <c r="K1405" s="21" t="str">
        <f>IF(X1405&lt;=0.9,HYPERLINK("http://www.lxhausys.co.kr/popup/rn/download/downloadPopup.jsp?from=plwindow&amp;uu=/upload/window/REPORT/LGH-TW21-029.pdf","1등급"),IF(X1405&lt;=1.2,HYPERLINK("http://www.lxhausys.co.kr/popup/rn/download/downloadPopup.jsp?from=plwindow&amp;uu=/upload/window/REPORT/LGH-TW21-029.pdf","2등급"),IF(X1405&lt;=1.8,HYPERLINK("http://www.lxhausys.co.kr/popup/rn/download/downloadPopup.jsp?from=plwindow&amp;uu=/upload/window/REPORT/LGH-TW21-029.pdf","3등급"),IF(X1405&lt;=2.3,HYPERLINK("http://www.lxhausys.co.kr/popup/rn/download/downloadPopup.jsp?from=plwindow&amp;uu=/upload/window/REPORT/LGH-TW21-029.pdf","4등급"),IF(X1405&lt;=2.8,HYPERLINK("http://www.lxhausys.co.kr/popup/rn/download/downloadPopup.jsp?from=plwindow&amp;uu=/upload/window/REPORT/LGH-TW21-029.pdf","5등급"),HYPERLINK("http://www.lxhausys.co.kr/popup/rn/download/downloadPopup.jsp?from=plwindow&amp;uu=/upload/window/REPORT/LGH-TW21-029.pdf","등급외"))))))</f>
        <v>2등급</v>
      </c>
      <c r="L1405" s="5">
        <v>0.98699999999999999</v>
      </c>
      <c r="M1405" s="5" t="s">
        <v>581</v>
      </c>
      <c r="N1405" s="5" t="s">
        <v>607</v>
      </c>
      <c r="O1405" s="5" t="s">
        <v>19</v>
      </c>
      <c r="P1405" s="5" t="s">
        <v>19</v>
      </c>
      <c r="Q1405" s="5" t="s">
        <v>19</v>
      </c>
      <c r="R1405" s="5" t="s">
        <v>19</v>
      </c>
      <c r="S1405" s="5" t="s">
        <v>19</v>
      </c>
      <c r="T1405" s="5" t="s">
        <v>19</v>
      </c>
      <c r="U1405" s="5" t="s">
        <v>19</v>
      </c>
      <c r="V1405" s="5" t="s">
        <v>19</v>
      </c>
      <c r="W1405" s="5" t="s">
        <v>19</v>
      </c>
      <c r="X1405" s="19">
        <f t="shared" si="16"/>
        <v>0.98699999999999999</v>
      </c>
    </row>
    <row r="1406" spans="1:24">
      <c r="A1406" t="s">
        <v>582</v>
      </c>
      <c r="B1406" t="s">
        <v>582</v>
      </c>
      <c r="C1406" t="s">
        <v>20</v>
      </c>
      <c r="D1406" t="s">
        <v>25</v>
      </c>
      <c r="E1406" t="s">
        <v>19</v>
      </c>
      <c r="F1406" t="s">
        <v>19</v>
      </c>
      <c r="G1406" t="s">
        <v>19</v>
      </c>
      <c r="H1406" t="s">
        <v>25</v>
      </c>
      <c r="I1406" t="s">
        <v>19</v>
      </c>
      <c r="J1406" t="s">
        <v>74</v>
      </c>
      <c r="K1406" s="21" t="str">
        <f>IF(X1406&lt;=0.9,HYPERLINK("http://www.lxhausys.co.kr/popup/rn/download/downloadPopup.jsp?from=plwindow&amp;uu=/upload/window/REPORT/LGH-TW21-030.pdf","1등급"),IF(X1406&lt;=1.2,HYPERLINK("http://www.lxhausys.co.kr/popup/rn/download/downloadPopup.jsp?from=plwindow&amp;uu=/upload/window/REPORT/LGH-TW21-030.pdf","2등급"),IF(X1406&lt;=1.8,HYPERLINK("http://www.lxhausys.co.kr/popup/rn/download/downloadPopup.jsp?from=plwindow&amp;uu=/upload/window/REPORT/LGH-TW21-030.pdf","3등급"),IF(X1406&lt;=2.3,HYPERLINK("http://www.lxhausys.co.kr/popup/rn/download/downloadPopup.jsp?from=plwindow&amp;uu=/upload/window/REPORT/LGH-TW21-030.pdf","4등급"),IF(X1406&lt;=2.8,HYPERLINK("http://www.lxhausys.co.kr/popup/rn/download/downloadPopup.jsp?from=plwindow&amp;uu=/upload/window/REPORT/LGH-TW21-030.pdf","5등급"),HYPERLINK("http://www.lxhausys.co.kr/popup/rn/download/downloadPopup.jsp?from=plwindow&amp;uu=/upload/window/REPORT/LGH-TW21-030.pdf","등급외"))))))</f>
        <v>3등급</v>
      </c>
      <c r="L1406" s="5">
        <v>1.302</v>
      </c>
      <c r="M1406" s="5" t="s">
        <v>509</v>
      </c>
      <c r="N1406" s="5" t="s">
        <v>607</v>
      </c>
      <c r="O1406" s="5" t="s">
        <v>19</v>
      </c>
      <c r="P1406" s="5" t="s">
        <v>19</v>
      </c>
      <c r="Q1406" s="5" t="s">
        <v>19</v>
      </c>
      <c r="R1406" s="5" t="s">
        <v>19</v>
      </c>
      <c r="S1406" s="5" t="s">
        <v>19</v>
      </c>
      <c r="T1406" s="5" t="s">
        <v>19</v>
      </c>
      <c r="U1406" s="5" t="s">
        <v>19</v>
      </c>
      <c r="V1406" s="5" t="s">
        <v>19</v>
      </c>
      <c r="W1406" s="5" t="s">
        <v>19</v>
      </c>
      <c r="X1406" s="19">
        <f t="shared" si="16"/>
        <v>1.302</v>
      </c>
    </row>
    <row r="1407" spans="1:24">
      <c r="A1407" t="s">
        <v>582</v>
      </c>
      <c r="B1407" t="s">
        <v>582</v>
      </c>
      <c r="C1407" t="s">
        <v>20</v>
      </c>
      <c r="D1407" t="s">
        <v>25</v>
      </c>
      <c r="E1407" t="s">
        <v>19</v>
      </c>
      <c r="F1407" t="s">
        <v>19</v>
      </c>
      <c r="G1407" t="s">
        <v>19</v>
      </c>
      <c r="H1407" t="s">
        <v>536</v>
      </c>
      <c r="I1407" t="s">
        <v>19</v>
      </c>
      <c r="J1407" t="s">
        <v>74</v>
      </c>
      <c r="K1407" s="21" t="str">
        <f>IF(X1407&lt;=0.9,HYPERLINK("http://www.lxhausys.co.kr/popup/rn/download/downloadPopup.jsp?from=plwindow&amp;uu=/upload/window/REPORT/LGH-TW21-031.pdf","1등급"),IF(X1407&lt;=1.2,HYPERLINK("http://www.lxhausys.co.kr/popup/rn/download/downloadPopup.jsp?from=plwindow&amp;uu=/upload/window/REPORT/LGH-TW21-031.pdf","2등급"),IF(X1407&lt;=1.8,HYPERLINK("http://www.lxhausys.co.kr/popup/rn/download/downloadPopup.jsp?from=plwindow&amp;uu=/upload/window/REPORT/LGH-TW21-031.pdf","3등급"),IF(X1407&lt;=2.3,HYPERLINK("http://www.lxhausys.co.kr/popup/rn/download/downloadPopup.jsp?from=plwindow&amp;uu=/upload/window/REPORT/LGH-TW21-031.pdf","4등급"),IF(X1407&lt;=2.8,HYPERLINK("http://www.lxhausys.co.kr/popup/rn/download/downloadPopup.jsp?from=plwindow&amp;uu=/upload/window/REPORT/LGH-TW21-031.pdf","5등급"),HYPERLINK("http://www.lxhausys.co.kr/popup/rn/download/downloadPopup.jsp?from=plwindow&amp;uu=/upload/window/REPORT/LGH-TW21-031.pdf","등급외"))))))</f>
        <v>2등급</v>
      </c>
      <c r="L1407" s="5">
        <v>1.0409999999999999</v>
      </c>
      <c r="M1407" s="5" t="s">
        <v>581</v>
      </c>
      <c r="N1407" s="5" t="s">
        <v>607</v>
      </c>
      <c r="O1407" s="5" t="s">
        <v>19</v>
      </c>
      <c r="P1407" s="5" t="s">
        <v>19</v>
      </c>
      <c r="Q1407" s="5" t="s">
        <v>19</v>
      </c>
      <c r="R1407" s="5" t="s">
        <v>19</v>
      </c>
      <c r="S1407" s="5" t="s">
        <v>19</v>
      </c>
      <c r="T1407" s="5" t="s">
        <v>19</v>
      </c>
      <c r="U1407" s="5" t="s">
        <v>19</v>
      </c>
      <c r="V1407" s="5" t="s">
        <v>19</v>
      </c>
      <c r="W1407" s="5" t="s">
        <v>19</v>
      </c>
      <c r="X1407" s="19">
        <f t="shared" si="16"/>
        <v>1.0409999999999999</v>
      </c>
    </row>
    <row r="1408" spans="1:24">
      <c r="A1408" t="s">
        <v>582</v>
      </c>
      <c r="B1408" t="s">
        <v>582</v>
      </c>
      <c r="C1408" t="s">
        <v>20</v>
      </c>
      <c r="D1408" t="s">
        <v>68</v>
      </c>
      <c r="E1408" t="s">
        <v>19</v>
      </c>
      <c r="F1408" t="s">
        <v>19</v>
      </c>
      <c r="G1408" t="s">
        <v>19</v>
      </c>
      <c r="H1408" t="s">
        <v>68</v>
      </c>
      <c r="I1408" t="s">
        <v>19</v>
      </c>
      <c r="J1408" t="s">
        <v>74</v>
      </c>
      <c r="K1408" s="21" t="str">
        <f>IF(X1408&lt;=0.9,HYPERLINK("http://www.lxhausys.co.kr/popup/rn/download/downloadPopup.jsp?from=plwindow&amp;uu=/upload/window/REPORT/LGH-TW21-032.pdf","1등급"),IF(X1408&lt;=1.2,HYPERLINK("http://www.lxhausys.co.kr/popup/rn/download/downloadPopup.jsp?from=plwindow&amp;uu=/upload/window/REPORT/LGH-TW21-032.pdf","2등급"),IF(X1408&lt;=1.8,HYPERLINK("http://www.lxhausys.co.kr/popup/rn/download/downloadPopup.jsp?from=plwindow&amp;uu=/upload/window/REPORT/LGH-TW21-032.pdf","3등급"),IF(X1408&lt;=2.3,HYPERLINK("http://www.lxhausys.co.kr/popup/rn/download/downloadPopup.jsp?from=plwindow&amp;uu=/upload/window/REPORT/LGH-TW21-032.pdf","4등급"),IF(X1408&lt;=2.8,HYPERLINK("http://www.lxhausys.co.kr/popup/rn/download/downloadPopup.jsp?from=plwindow&amp;uu=/upload/window/REPORT/LGH-TW21-032.pdf","5등급"),HYPERLINK("http://www.lxhausys.co.kr/popup/rn/download/downloadPopup.jsp?from=plwindow&amp;uu=/upload/window/REPORT/LGH-TW21-032.pdf","등급외"))))))</f>
        <v>3등급</v>
      </c>
      <c r="L1408" s="5">
        <v>1.284</v>
      </c>
      <c r="M1408" s="5" t="s">
        <v>581</v>
      </c>
      <c r="N1408" s="5" t="s">
        <v>607</v>
      </c>
      <c r="O1408" s="5" t="s">
        <v>19</v>
      </c>
      <c r="P1408" s="5" t="s">
        <v>19</v>
      </c>
      <c r="Q1408" s="5" t="s">
        <v>19</v>
      </c>
      <c r="R1408" s="5" t="s">
        <v>19</v>
      </c>
      <c r="S1408" s="5" t="s">
        <v>19</v>
      </c>
      <c r="T1408" s="5" t="s">
        <v>19</v>
      </c>
      <c r="U1408" s="5" t="s">
        <v>19</v>
      </c>
      <c r="V1408" s="5" t="s">
        <v>19</v>
      </c>
      <c r="W1408" s="5" t="s">
        <v>19</v>
      </c>
      <c r="X1408" s="19">
        <f t="shared" si="16"/>
        <v>1.284</v>
      </c>
    </row>
    <row r="1409" spans="1:24">
      <c r="A1409" t="s">
        <v>582</v>
      </c>
      <c r="B1409" t="s">
        <v>582</v>
      </c>
      <c r="C1409" t="s">
        <v>20</v>
      </c>
      <c r="D1409" t="s">
        <v>68</v>
      </c>
      <c r="E1409" t="s">
        <v>19</v>
      </c>
      <c r="F1409" t="s">
        <v>19</v>
      </c>
      <c r="G1409" t="s">
        <v>19</v>
      </c>
      <c r="H1409" t="s">
        <v>583</v>
      </c>
      <c r="I1409" t="s">
        <v>19</v>
      </c>
      <c r="J1409" t="s">
        <v>74</v>
      </c>
      <c r="K1409" s="21" t="str">
        <f>IF(X1409&lt;=0.9,HYPERLINK("http://www.lxhausys.co.kr/popup/rn/download/downloadPopup.jsp?from=plwindow&amp;uu=/upload/window/REPORT/LGH-TW21-033.pdf","1등급"),IF(X1409&lt;=1.2,HYPERLINK("http://www.lxhausys.co.kr/popup/rn/download/downloadPopup.jsp?from=plwindow&amp;uu=/upload/window/REPORT/LGH-TW21-033.pdf","2등급"),IF(X1409&lt;=1.8,HYPERLINK("http://www.lxhausys.co.kr/popup/rn/download/downloadPopup.jsp?from=plwindow&amp;uu=/upload/window/REPORT/LGH-TW21-033.pdf","3등급"),IF(X1409&lt;=2.3,HYPERLINK("http://www.lxhausys.co.kr/popup/rn/download/downloadPopup.jsp?from=plwindow&amp;uu=/upload/window/REPORT/LGH-TW21-033.pdf","4등급"),IF(X1409&lt;=2.8,HYPERLINK("http://www.lxhausys.co.kr/popup/rn/download/downloadPopup.jsp?from=plwindow&amp;uu=/upload/window/REPORT/LGH-TW21-033.pdf","5등급"),HYPERLINK("http://www.lxhausys.co.kr/popup/rn/download/downloadPopup.jsp?from=plwindow&amp;uu=/upload/window/REPORT/LGH-TW21-033.pdf","등급외"))))))</f>
        <v>2등급</v>
      </c>
      <c r="L1409" s="5">
        <v>0.98199999999999998</v>
      </c>
      <c r="M1409" s="5" t="s">
        <v>584</v>
      </c>
      <c r="N1409" s="5" t="s">
        <v>607</v>
      </c>
      <c r="O1409" s="5" t="s">
        <v>19</v>
      </c>
      <c r="P1409" s="5" t="s">
        <v>19</v>
      </c>
      <c r="Q1409" s="5" t="s">
        <v>19</v>
      </c>
      <c r="R1409" s="5" t="s">
        <v>19</v>
      </c>
      <c r="S1409" s="5" t="s">
        <v>19</v>
      </c>
      <c r="T1409" s="5" t="s">
        <v>19</v>
      </c>
      <c r="U1409" s="5" t="s">
        <v>19</v>
      </c>
      <c r="V1409" s="5" t="s">
        <v>19</v>
      </c>
      <c r="W1409" s="5" t="s">
        <v>19</v>
      </c>
      <c r="X1409" s="19">
        <f t="shared" si="16"/>
        <v>0.98199999999999998</v>
      </c>
    </row>
    <row r="1410" spans="1:24">
      <c r="A1410" t="s">
        <v>513</v>
      </c>
      <c r="B1410" t="s">
        <v>513</v>
      </c>
      <c r="C1410" t="s">
        <v>20</v>
      </c>
      <c r="D1410" t="s">
        <v>545</v>
      </c>
      <c r="E1410" t="s">
        <v>19</v>
      </c>
      <c r="F1410" t="s">
        <v>19</v>
      </c>
      <c r="G1410" t="s">
        <v>19</v>
      </c>
      <c r="H1410" t="s">
        <v>545</v>
      </c>
      <c r="I1410" t="s">
        <v>19</v>
      </c>
      <c r="J1410" t="s">
        <v>97</v>
      </c>
      <c r="K1410" s="21" t="str">
        <f>IF(X1410&lt;=0.9,HYPERLINK("http://www.lxhausys.co.kr/popup/rn/download/downloadPopup.jsp?from=plwindow&amp;uu=/upload/window/REPORT/LGH-TW21-034.pdf","1등급"),IF(X1410&lt;=1.2,HYPERLINK("http://www.lxhausys.co.kr/popup/rn/download/downloadPopup.jsp?from=plwindow&amp;uu=/upload/window/REPORT/LGH-TW21-034.pdf","2등급"),IF(X1410&lt;=1.8,HYPERLINK("http://www.lxhausys.co.kr/popup/rn/download/downloadPopup.jsp?from=plwindow&amp;uu=/upload/window/REPORT/LGH-TW21-034.pdf","3등급"),IF(X1410&lt;=2.3,HYPERLINK("http://www.lxhausys.co.kr/popup/rn/download/downloadPopup.jsp?from=plwindow&amp;uu=/upload/window/REPORT/LGH-TW21-034.pdf","4등급"),IF(X1410&lt;=2.8,HYPERLINK("http://www.lxhausys.co.kr/popup/rn/download/downloadPopup.jsp?from=plwindow&amp;uu=/upload/window/REPORT/LGH-TW21-034.pdf","5등급"),HYPERLINK("http://www.lxhausys.co.kr/popup/rn/download/downloadPopup.jsp?from=plwindow&amp;uu=/upload/window/REPORT/LGH-TW21-034.pdf","등급외"))))))</f>
        <v>2등급</v>
      </c>
      <c r="L1410" s="5">
        <v>1.1299999999999999</v>
      </c>
      <c r="M1410" s="5" t="s">
        <v>556</v>
      </c>
      <c r="N1410" s="5" t="s">
        <v>607</v>
      </c>
      <c r="O1410" s="5" t="s">
        <v>19</v>
      </c>
      <c r="P1410" s="5" t="s">
        <v>19</v>
      </c>
      <c r="Q1410" s="5" t="s">
        <v>19</v>
      </c>
      <c r="R1410" s="5" t="s">
        <v>19</v>
      </c>
      <c r="S1410" s="5" t="s">
        <v>19</v>
      </c>
      <c r="T1410" s="5" t="s">
        <v>19</v>
      </c>
      <c r="U1410" s="5" t="s">
        <v>19</v>
      </c>
      <c r="V1410" s="5" t="s">
        <v>19</v>
      </c>
      <c r="W1410" s="5" t="s">
        <v>19</v>
      </c>
      <c r="X1410" s="19">
        <f t="shared" si="16"/>
        <v>1.1299999999999999</v>
      </c>
    </row>
    <row r="1411" spans="1:24">
      <c r="A1411" t="s">
        <v>510</v>
      </c>
      <c r="B1411" t="s">
        <v>510</v>
      </c>
      <c r="C1411" t="s">
        <v>20</v>
      </c>
      <c r="D1411" t="s">
        <v>585</v>
      </c>
      <c r="E1411" t="s">
        <v>19</v>
      </c>
      <c r="F1411" t="s">
        <v>19</v>
      </c>
      <c r="G1411" t="s">
        <v>19</v>
      </c>
      <c r="H1411" t="s">
        <v>19</v>
      </c>
      <c r="I1411" t="s">
        <v>19</v>
      </c>
      <c r="J1411" t="s">
        <v>184</v>
      </c>
      <c r="K1411" s="21" t="str">
        <f>IF(X1411&lt;=0.9,HYPERLINK("http://www.lxhausys.co.kr/popup/rn/download/downloadPopup.jsp?from=plwindow&amp;uu=/upload/window/REPORT/LGH-TW21-035.pdf","1등급"),IF(X1411&lt;=1.2,HYPERLINK("http://www.lxhausys.co.kr/popup/rn/download/downloadPopup.jsp?from=plwindow&amp;uu=/upload/window/REPORT/LGH-TW21-035.pdf","2등급"),IF(X1411&lt;=1.8,HYPERLINK("http://www.lxhausys.co.kr/popup/rn/download/downloadPopup.jsp?from=plwindow&amp;uu=/upload/window/REPORT/LGH-TW21-035.pdf","3등급"),IF(X1411&lt;=2.3,HYPERLINK("http://www.lxhausys.co.kr/popup/rn/download/downloadPopup.jsp?from=plwindow&amp;uu=/upload/window/REPORT/LGH-TW21-035.pdf","4등급"),IF(X1411&lt;=2.8,HYPERLINK("http://www.lxhausys.co.kr/popup/rn/download/downloadPopup.jsp?from=plwindow&amp;uu=/upload/window/REPORT/LGH-TW21-035.pdf","5등급"),HYPERLINK("http://www.lxhausys.co.kr/popup/rn/download/downloadPopup.jsp?from=plwindow&amp;uu=/upload/window/REPORT/LGH-TW21-035.pdf","등급외"))))))</f>
        <v>5등급</v>
      </c>
      <c r="L1411" s="5">
        <v>2.6389999999999998</v>
      </c>
      <c r="M1411" s="5" t="s">
        <v>543</v>
      </c>
      <c r="N1411" s="5" t="s">
        <v>607</v>
      </c>
      <c r="O1411" s="5" t="s">
        <v>19</v>
      </c>
      <c r="P1411" s="5" t="s">
        <v>19</v>
      </c>
      <c r="Q1411" s="5" t="s">
        <v>19</v>
      </c>
      <c r="R1411" s="5" t="s">
        <v>19</v>
      </c>
      <c r="S1411" s="5" t="s">
        <v>19</v>
      </c>
      <c r="T1411" s="5" t="s">
        <v>19</v>
      </c>
      <c r="U1411" s="5" t="s">
        <v>19</v>
      </c>
      <c r="V1411" s="5" t="s">
        <v>19</v>
      </c>
      <c r="W1411" s="5" t="s">
        <v>19</v>
      </c>
      <c r="X1411" s="19">
        <f t="shared" si="16"/>
        <v>2.6389999999999998</v>
      </c>
    </row>
    <row r="1412" spans="1:24">
      <c r="A1412" t="s">
        <v>510</v>
      </c>
      <c r="B1412" t="s">
        <v>510</v>
      </c>
      <c r="C1412" t="s">
        <v>20</v>
      </c>
      <c r="D1412" t="s">
        <v>511</v>
      </c>
      <c r="E1412" t="s">
        <v>19</v>
      </c>
      <c r="F1412" t="s">
        <v>19</v>
      </c>
      <c r="G1412" t="s">
        <v>19</v>
      </c>
      <c r="H1412" t="s">
        <v>19</v>
      </c>
      <c r="I1412" t="s">
        <v>19</v>
      </c>
      <c r="J1412" t="s">
        <v>184</v>
      </c>
      <c r="K1412" s="21" t="str">
        <f>IF(X1412&lt;=0.9,HYPERLINK("http://www.lxhausys.co.kr/popup/rn/download/downloadPopup.jsp?from=plwindow&amp;uu=/upload/window/REPORT/LGH-TW21-036.pdf","1등급"),IF(X1412&lt;=1.2,HYPERLINK("http://www.lxhausys.co.kr/popup/rn/download/downloadPopup.jsp?from=plwindow&amp;uu=/upload/window/REPORT/LGH-TW21-036.pdf","2등급"),IF(X1412&lt;=1.8,HYPERLINK("http://www.lxhausys.co.kr/popup/rn/download/downloadPopup.jsp?from=plwindow&amp;uu=/upload/window/REPORT/LGH-TW21-036.pdf","3등급"),IF(X1412&lt;=2.3,HYPERLINK("http://www.lxhausys.co.kr/popup/rn/download/downloadPopup.jsp?from=plwindow&amp;uu=/upload/window/REPORT/LGH-TW21-036.pdf","4등급"),IF(X1412&lt;=2.8,HYPERLINK("http://www.lxhausys.co.kr/popup/rn/download/downloadPopup.jsp?from=plwindow&amp;uu=/upload/window/REPORT/LGH-TW21-036.pdf","5등급"),HYPERLINK("http://www.lxhausys.co.kr/popup/rn/download/downloadPopup.jsp?from=plwindow&amp;uu=/upload/window/REPORT/LGH-TW21-036.pdf","등급외"))))))</f>
        <v>4등급</v>
      </c>
      <c r="L1412" s="5">
        <v>1.8660000000000001</v>
      </c>
      <c r="M1412" s="5" t="s">
        <v>586</v>
      </c>
      <c r="N1412" s="5" t="s">
        <v>607</v>
      </c>
      <c r="O1412" s="5" t="s">
        <v>19</v>
      </c>
      <c r="P1412" s="5" t="s">
        <v>19</v>
      </c>
      <c r="Q1412" s="5" t="s">
        <v>19</v>
      </c>
      <c r="R1412" s="5" t="s">
        <v>19</v>
      </c>
      <c r="S1412" s="5" t="s">
        <v>19</v>
      </c>
      <c r="T1412" s="5" t="s">
        <v>19</v>
      </c>
      <c r="U1412" s="5" t="s">
        <v>19</v>
      </c>
      <c r="V1412" s="5" t="s">
        <v>19</v>
      </c>
      <c r="W1412" s="5" t="s">
        <v>19</v>
      </c>
      <c r="X1412" s="19">
        <f t="shared" si="16"/>
        <v>1.8660000000000001</v>
      </c>
    </row>
    <row r="1413" spans="1:24">
      <c r="A1413" t="s">
        <v>513</v>
      </c>
      <c r="B1413" t="s">
        <v>513</v>
      </c>
      <c r="C1413" t="s">
        <v>20</v>
      </c>
      <c r="D1413" t="s">
        <v>585</v>
      </c>
      <c r="E1413" t="s">
        <v>19</v>
      </c>
      <c r="F1413" t="s">
        <v>19</v>
      </c>
      <c r="G1413" t="s">
        <v>19</v>
      </c>
      <c r="H1413" t="s">
        <v>585</v>
      </c>
      <c r="I1413" t="s">
        <v>19</v>
      </c>
      <c r="J1413" t="s">
        <v>184</v>
      </c>
      <c r="K1413" s="21" t="str">
        <f>IF(X1413&lt;=0.9,HYPERLINK("http://www.lxhausys.co.kr/popup/rn/download/downloadPopup.jsp?from=plwindow&amp;uu=/upload/window/REPORT/LGH-TW21-037.pdf","1등급"),IF(X1413&lt;=1.2,HYPERLINK("http://www.lxhausys.co.kr/popup/rn/download/downloadPopup.jsp?from=plwindow&amp;uu=/upload/window/REPORT/LGH-TW21-037.pdf","2등급"),IF(X1413&lt;=1.8,HYPERLINK("http://www.lxhausys.co.kr/popup/rn/download/downloadPopup.jsp?from=plwindow&amp;uu=/upload/window/REPORT/LGH-TW21-037.pdf","3등급"),IF(X1413&lt;=2.3,HYPERLINK("http://www.lxhausys.co.kr/popup/rn/download/downloadPopup.jsp?from=plwindow&amp;uu=/upload/window/REPORT/LGH-TW21-037.pdf","4등급"),IF(X1413&lt;=2.8,HYPERLINK("http://www.lxhausys.co.kr/popup/rn/download/downloadPopup.jsp?from=plwindow&amp;uu=/upload/window/REPORT/LGH-TW21-037.pdf","5등급"),HYPERLINK("http://www.lxhausys.co.kr/popup/rn/download/downloadPopup.jsp?from=plwindow&amp;uu=/upload/window/REPORT/LGH-TW21-037.pdf","등급외"))))))</f>
        <v>2등급</v>
      </c>
      <c r="L1413" s="5">
        <v>1.1759999999999999</v>
      </c>
      <c r="M1413" s="5" t="s">
        <v>581</v>
      </c>
      <c r="N1413" s="5" t="s">
        <v>607</v>
      </c>
      <c r="O1413" s="5" t="s">
        <v>19</v>
      </c>
      <c r="P1413" s="5" t="s">
        <v>19</v>
      </c>
      <c r="Q1413" s="5" t="s">
        <v>19</v>
      </c>
      <c r="R1413" s="5" t="s">
        <v>19</v>
      </c>
      <c r="S1413" s="5" t="s">
        <v>19</v>
      </c>
      <c r="T1413" s="5" t="s">
        <v>19</v>
      </c>
      <c r="U1413" s="5" t="s">
        <v>19</v>
      </c>
      <c r="V1413" s="5" t="s">
        <v>19</v>
      </c>
      <c r="W1413" s="5" t="s">
        <v>19</v>
      </c>
      <c r="X1413" s="19">
        <f t="shared" si="16"/>
        <v>1.1759999999999999</v>
      </c>
    </row>
    <row r="1414" spans="1:24">
      <c r="A1414" t="s">
        <v>513</v>
      </c>
      <c r="B1414" t="s">
        <v>513</v>
      </c>
      <c r="C1414" t="s">
        <v>20</v>
      </c>
      <c r="D1414" t="s">
        <v>585</v>
      </c>
      <c r="E1414" t="s">
        <v>19</v>
      </c>
      <c r="F1414" t="s">
        <v>19</v>
      </c>
      <c r="G1414" t="s">
        <v>19</v>
      </c>
      <c r="H1414" t="s">
        <v>511</v>
      </c>
      <c r="I1414" t="s">
        <v>19</v>
      </c>
      <c r="J1414" t="s">
        <v>184</v>
      </c>
      <c r="K1414" s="21" t="str">
        <f>IF(X1414&lt;=0.9,HYPERLINK("http://www.lxhausys.co.kr/popup/rn/download/downloadPopup.jsp?from=plwindow&amp;uu=/upload/window/REPORT/LGH-TW21-038.pdf","1등급"),IF(X1414&lt;=1.2,HYPERLINK("http://www.lxhausys.co.kr/popup/rn/download/downloadPopup.jsp?from=plwindow&amp;uu=/upload/window/REPORT/LGH-TW21-038.pdf","2등급"),IF(X1414&lt;=1.8,HYPERLINK("http://www.lxhausys.co.kr/popup/rn/download/downloadPopup.jsp?from=plwindow&amp;uu=/upload/window/REPORT/LGH-TW21-038.pdf","3등급"),IF(X1414&lt;=2.3,HYPERLINK("http://www.lxhausys.co.kr/popup/rn/download/downloadPopup.jsp?from=plwindow&amp;uu=/upload/window/REPORT/LGH-TW21-038.pdf","4등급"),IF(X1414&lt;=2.8,HYPERLINK("http://www.lxhausys.co.kr/popup/rn/download/downloadPopup.jsp?from=plwindow&amp;uu=/upload/window/REPORT/LGH-TW21-038.pdf","5등급"),HYPERLINK("http://www.lxhausys.co.kr/popup/rn/download/downloadPopup.jsp?from=plwindow&amp;uu=/upload/window/REPORT/LGH-TW21-038.pdf","등급외"))))))</f>
        <v>1등급</v>
      </c>
      <c r="L1414" s="5">
        <v>0.85</v>
      </c>
      <c r="M1414" s="5" t="s">
        <v>568</v>
      </c>
      <c r="N1414" s="5" t="s">
        <v>607</v>
      </c>
      <c r="O1414" s="5" t="s">
        <v>19</v>
      </c>
      <c r="P1414" s="5" t="s">
        <v>19</v>
      </c>
      <c r="Q1414" s="5" t="s">
        <v>19</v>
      </c>
      <c r="R1414" s="5" t="s">
        <v>19</v>
      </c>
      <c r="S1414" s="5" t="s">
        <v>19</v>
      </c>
      <c r="T1414" s="5" t="s">
        <v>19</v>
      </c>
      <c r="U1414" s="5" t="s">
        <v>19</v>
      </c>
      <c r="V1414" s="5" t="s">
        <v>19</v>
      </c>
      <c r="W1414" s="5" t="s">
        <v>19</v>
      </c>
      <c r="X1414" s="19">
        <f t="shared" si="16"/>
        <v>0.85</v>
      </c>
    </row>
    <row r="1415" spans="1:24">
      <c r="A1415" t="s">
        <v>513</v>
      </c>
      <c r="B1415" t="s">
        <v>513</v>
      </c>
      <c r="C1415" t="s">
        <v>20</v>
      </c>
      <c r="D1415" t="s">
        <v>511</v>
      </c>
      <c r="E1415" t="s">
        <v>19</v>
      </c>
      <c r="F1415" t="s">
        <v>19</v>
      </c>
      <c r="G1415" t="s">
        <v>19</v>
      </c>
      <c r="H1415" t="s">
        <v>585</v>
      </c>
      <c r="I1415" t="s">
        <v>19</v>
      </c>
      <c r="J1415" t="s">
        <v>184</v>
      </c>
      <c r="K1415" s="21" t="str">
        <f>IF(X1415&lt;=0.9,HYPERLINK("http://www.lxhausys.co.kr/popup/rn/download/downloadPopup.jsp?from=plwindow&amp;uu=/upload/window/REPORT/LGH-TW21-039.pdf","1등급"),IF(X1415&lt;=1.2,HYPERLINK("http://www.lxhausys.co.kr/popup/rn/download/downloadPopup.jsp?from=plwindow&amp;uu=/upload/window/REPORT/LGH-TW21-039.pdf","2등급"),IF(X1415&lt;=1.8,HYPERLINK("http://www.lxhausys.co.kr/popup/rn/download/downloadPopup.jsp?from=plwindow&amp;uu=/upload/window/REPORT/LGH-TW21-039.pdf","3등급"),IF(X1415&lt;=2.3,HYPERLINK("http://www.lxhausys.co.kr/popup/rn/download/downloadPopup.jsp?from=plwindow&amp;uu=/upload/window/REPORT/LGH-TW21-039.pdf","4등급"),IF(X1415&lt;=2.8,HYPERLINK("http://www.lxhausys.co.kr/popup/rn/download/downloadPopup.jsp?from=plwindow&amp;uu=/upload/window/REPORT/LGH-TW21-039.pdf","5등급"),HYPERLINK("http://www.lxhausys.co.kr/popup/rn/download/downloadPopup.jsp?from=plwindow&amp;uu=/upload/window/REPORT/LGH-TW21-039.pdf","등급외"))))))</f>
        <v>2등급</v>
      </c>
      <c r="L1415" s="5">
        <v>0.92700000000000005</v>
      </c>
      <c r="M1415" s="5" t="s">
        <v>571</v>
      </c>
      <c r="N1415" s="5" t="s">
        <v>607</v>
      </c>
      <c r="O1415" s="5" t="s">
        <v>19</v>
      </c>
      <c r="P1415" s="5" t="s">
        <v>19</v>
      </c>
      <c r="Q1415" s="5" t="s">
        <v>19</v>
      </c>
      <c r="R1415" s="5" t="s">
        <v>19</v>
      </c>
      <c r="S1415" s="5" t="s">
        <v>19</v>
      </c>
      <c r="T1415" s="5" t="s">
        <v>19</v>
      </c>
      <c r="U1415" s="5" t="s">
        <v>19</v>
      </c>
      <c r="V1415" s="5" t="s">
        <v>19</v>
      </c>
      <c r="W1415" s="5" t="s">
        <v>19</v>
      </c>
      <c r="X1415" s="19">
        <f t="shared" si="16"/>
        <v>0.92700000000000005</v>
      </c>
    </row>
    <row r="1416" spans="1:24" ht="16.5" customHeight="1">
      <c r="A1416" t="s">
        <v>100</v>
      </c>
      <c r="B1416" t="s">
        <v>100</v>
      </c>
      <c r="C1416" t="s">
        <v>31</v>
      </c>
      <c r="D1416" t="s">
        <v>25</v>
      </c>
      <c r="E1416" t="s">
        <v>19</v>
      </c>
      <c r="F1416" t="s">
        <v>19</v>
      </c>
      <c r="G1416" t="s">
        <v>19</v>
      </c>
      <c r="H1416" t="s">
        <v>25</v>
      </c>
      <c r="I1416" t="s">
        <v>19</v>
      </c>
      <c r="J1416" t="s">
        <v>74</v>
      </c>
      <c r="K1416" s="21" t="s">
        <v>607</v>
      </c>
      <c r="L1416" s="5" t="s">
        <v>19</v>
      </c>
      <c r="M1416" s="5" t="s">
        <v>19</v>
      </c>
      <c r="N1416" s="5" t="s">
        <v>19</v>
      </c>
      <c r="O1416" s="5" t="str">
        <f>HYPERLINK("http://www.lghausys.co.kr/popup/rn/download/downloadPopup.jsp?from=plwindow&amp;uu=/upload/window/REPORT/LGH-WA21-070.pdf","1등급")</f>
        <v>1등급</v>
      </c>
      <c r="P1416" s="5" t="s">
        <v>19</v>
      </c>
      <c r="Q1416" s="5" t="s">
        <v>19</v>
      </c>
      <c r="R1416" s="5" t="s">
        <v>19</v>
      </c>
      <c r="S1416" s="5" t="s">
        <v>19</v>
      </c>
      <c r="T1416" s="5" t="s">
        <v>19</v>
      </c>
      <c r="U1416" s="5" t="s">
        <v>19</v>
      </c>
      <c r="V1416" s="5" t="s">
        <v>19</v>
      </c>
      <c r="W1416" s="5" t="s">
        <v>152</v>
      </c>
      <c r="X1416"/>
    </row>
    <row r="1417" spans="1:24">
      <c r="A1417" t="s">
        <v>587</v>
      </c>
      <c r="B1417" t="s">
        <v>587</v>
      </c>
      <c r="C1417" t="s">
        <v>31</v>
      </c>
      <c r="D1417" t="s">
        <v>588</v>
      </c>
      <c r="E1417" t="s">
        <v>19</v>
      </c>
      <c r="F1417" t="s">
        <v>64</v>
      </c>
      <c r="G1417" t="s">
        <v>182</v>
      </c>
      <c r="H1417" t="s">
        <v>64</v>
      </c>
      <c r="I1417" t="s">
        <v>19</v>
      </c>
      <c r="J1417" t="s">
        <v>74</v>
      </c>
      <c r="K1417" s="21" t="s">
        <v>607</v>
      </c>
      <c r="L1417" s="5" t="s">
        <v>19</v>
      </c>
      <c r="M1417" s="5" t="s">
        <v>19</v>
      </c>
      <c r="N1417" s="5" t="s">
        <v>19</v>
      </c>
      <c r="O1417" s="5" t="str">
        <f>HYPERLINK("http://www.lghausys.co.kr/popup/rn/download/downloadPopup.jsp?from=plwindow&amp;uu=/upload/window/REPORT/LGH-WA21-071.pdf","1등급")</f>
        <v>1등급</v>
      </c>
      <c r="P1417" s="5" t="s">
        <v>19</v>
      </c>
      <c r="Q1417" s="5" t="s">
        <v>19</v>
      </c>
      <c r="R1417" s="5" t="s">
        <v>19</v>
      </c>
      <c r="S1417" s="5" t="s">
        <v>19</v>
      </c>
      <c r="T1417" s="5" t="s">
        <v>19</v>
      </c>
      <c r="U1417" s="5" t="s">
        <v>19</v>
      </c>
      <c r="V1417" s="5" t="s">
        <v>19</v>
      </c>
      <c r="W1417" s="5" t="s">
        <v>152</v>
      </c>
      <c r="X1417"/>
    </row>
    <row r="1418" spans="1:24">
      <c r="A1418" t="s">
        <v>174</v>
      </c>
      <c r="B1418" t="s">
        <v>174</v>
      </c>
      <c r="C1418" t="s">
        <v>31</v>
      </c>
      <c r="D1418" t="s">
        <v>25</v>
      </c>
      <c r="E1418" t="s">
        <v>19</v>
      </c>
      <c r="F1418" t="s">
        <v>19</v>
      </c>
      <c r="G1418" t="s">
        <v>19</v>
      </c>
      <c r="H1418" t="s">
        <v>25</v>
      </c>
      <c r="I1418" t="s">
        <v>19</v>
      </c>
      <c r="J1418" t="s">
        <v>74</v>
      </c>
      <c r="K1418" s="21" t="s">
        <v>607</v>
      </c>
      <c r="L1418" s="5" t="s">
        <v>19</v>
      </c>
      <c r="M1418" s="5" t="s">
        <v>19</v>
      </c>
      <c r="N1418" s="5" t="s">
        <v>19</v>
      </c>
      <c r="O1418" s="5" t="str">
        <f>HYPERLINK("http://www.lghausys.co.kr/popup/rn/download/downloadPopup.jsp?from=plwindow&amp;uu=/upload/window/REPORT/LGH-WA21-072.pdf","1등급")</f>
        <v>1등급</v>
      </c>
      <c r="P1418" s="5" t="s">
        <v>19</v>
      </c>
      <c r="Q1418" s="5" t="s">
        <v>19</v>
      </c>
      <c r="R1418" s="5" t="s">
        <v>19</v>
      </c>
      <c r="S1418" s="5" t="s">
        <v>19</v>
      </c>
      <c r="T1418" s="5" t="s">
        <v>19</v>
      </c>
      <c r="U1418" s="5" t="s">
        <v>19</v>
      </c>
      <c r="V1418" s="5" t="s">
        <v>19</v>
      </c>
      <c r="W1418" s="5" t="s">
        <v>152</v>
      </c>
      <c r="X1418"/>
    </row>
    <row r="1419" spans="1:24">
      <c r="A1419" t="s">
        <v>136</v>
      </c>
      <c r="B1419" t="s">
        <v>136</v>
      </c>
      <c r="C1419" t="s">
        <v>31</v>
      </c>
      <c r="D1419" t="s">
        <v>25</v>
      </c>
      <c r="E1419" t="s">
        <v>158</v>
      </c>
      <c r="F1419" t="s">
        <v>19</v>
      </c>
      <c r="G1419" t="s">
        <v>19</v>
      </c>
      <c r="H1419" t="s">
        <v>19</v>
      </c>
      <c r="I1419" t="s">
        <v>19</v>
      </c>
      <c r="J1419" t="s">
        <v>74</v>
      </c>
      <c r="K1419" s="21" t="s">
        <v>607</v>
      </c>
      <c r="L1419" s="5" t="s">
        <v>19</v>
      </c>
      <c r="M1419" s="5" t="s">
        <v>19</v>
      </c>
      <c r="N1419" s="5" t="s">
        <v>19</v>
      </c>
      <c r="O1419" s="5" t="str">
        <f>HYPERLINK("http://www.lghausys.co.kr/popup/rn/download/downloadPopup.jsp?from=plwindow&amp;uu=/upload/window/REPORT/LGH-WA21-073.pdf","2등급")</f>
        <v>2등급</v>
      </c>
      <c r="P1419" s="5" t="s">
        <v>19</v>
      </c>
      <c r="Q1419" s="5" t="s">
        <v>19</v>
      </c>
      <c r="R1419" s="5" t="s">
        <v>19</v>
      </c>
      <c r="S1419" s="5" t="s">
        <v>19</v>
      </c>
      <c r="T1419" s="5" t="s">
        <v>19</v>
      </c>
      <c r="U1419" s="5" t="s">
        <v>19</v>
      </c>
      <c r="V1419" s="5" t="s">
        <v>19</v>
      </c>
      <c r="W1419" s="5" t="s">
        <v>152</v>
      </c>
      <c r="X1419"/>
    </row>
    <row r="1420" spans="1:24">
      <c r="A1420" t="s">
        <v>458</v>
      </c>
      <c r="B1420" t="s">
        <v>458</v>
      </c>
      <c r="C1420" t="s">
        <v>31</v>
      </c>
      <c r="D1420" t="s">
        <v>25</v>
      </c>
      <c r="E1420" t="s">
        <v>178</v>
      </c>
      <c r="F1420" t="s">
        <v>19</v>
      </c>
      <c r="G1420" t="s">
        <v>19</v>
      </c>
      <c r="H1420" t="s">
        <v>19</v>
      </c>
      <c r="I1420" t="s">
        <v>19</v>
      </c>
      <c r="J1420" t="s">
        <v>97</v>
      </c>
      <c r="K1420" s="21" t="s">
        <v>607</v>
      </c>
      <c r="L1420" s="5" t="s">
        <v>19</v>
      </c>
      <c r="M1420" s="5" t="s">
        <v>19</v>
      </c>
      <c r="N1420" s="5" t="s">
        <v>19</v>
      </c>
      <c r="O1420" s="5" t="str">
        <f>HYPERLINK("http://www.lghausys.co.kr/popup/rn/download/downloadPopup.jsp?from=plwindow&amp;uu=/upload/window/REPORT/LGH-WA21-074.pdf","2등급")</f>
        <v>2등급</v>
      </c>
      <c r="P1420" s="5" t="s">
        <v>19</v>
      </c>
      <c r="Q1420" s="5" t="s">
        <v>19</v>
      </c>
      <c r="R1420" s="5" t="s">
        <v>19</v>
      </c>
      <c r="S1420" s="5" t="s">
        <v>19</v>
      </c>
      <c r="T1420" s="5" t="s">
        <v>19</v>
      </c>
      <c r="U1420" s="5" t="s">
        <v>19</v>
      </c>
      <c r="V1420" s="5" t="s">
        <v>19</v>
      </c>
      <c r="W1420" s="5" t="s">
        <v>152</v>
      </c>
      <c r="X1420"/>
    </row>
    <row r="1421" spans="1:24">
      <c r="A1421" t="s">
        <v>589</v>
      </c>
      <c r="B1421" t="s">
        <v>589</v>
      </c>
      <c r="C1421" t="s">
        <v>31</v>
      </c>
      <c r="D1421" t="s">
        <v>590</v>
      </c>
      <c r="E1421" t="s">
        <v>19</v>
      </c>
      <c r="F1421" t="s">
        <v>28</v>
      </c>
      <c r="G1421" t="s">
        <v>19</v>
      </c>
      <c r="H1421" t="s">
        <v>28</v>
      </c>
      <c r="I1421" t="s">
        <v>19</v>
      </c>
      <c r="J1421" t="s">
        <v>97</v>
      </c>
      <c r="K1421" s="21" t="s">
        <v>607</v>
      </c>
      <c r="L1421" s="5" t="s">
        <v>19</v>
      </c>
      <c r="M1421" s="5" t="s">
        <v>19</v>
      </c>
      <c r="N1421" s="5" t="s">
        <v>19</v>
      </c>
      <c r="O1421" s="5" t="str">
        <f>HYPERLINK("http://www.lghausys.co.kr/popup/rn/download/downloadPopup.jsp?from=plwindow&amp;uu=/upload/window/REPORT/LGH-WA21-075.pdf","1등급")</f>
        <v>1등급</v>
      </c>
      <c r="P1421" s="5" t="s">
        <v>19</v>
      </c>
      <c r="Q1421" s="5" t="s">
        <v>19</v>
      </c>
      <c r="R1421" s="5" t="s">
        <v>19</v>
      </c>
      <c r="S1421" s="5" t="s">
        <v>19</v>
      </c>
      <c r="T1421" s="5" t="s">
        <v>19</v>
      </c>
      <c r="U1421" s="5" t="s">
        <v>19</v>
      </c>
      <c r="V1421" s="5" t="s">
        <v>19</v>
      </c>
      <c r="W1421" s="5" t="s">
        <v>75</v>
      </c>
      <c r="X1421"/>
    </row>
    <row r="1422" spans="1:24">
      <c r="A1422" t="s">
        <v>589</v>
      </c>
      <c r="B1422" t="s">
        <v>589</v>
      </c>
      <c r="C1422" t="s">
        <v>31</v>
      </c>
      <c r="D1422" t="s">
        <v>591</v>
      </c>
      <c r="E1422" t="s">
        <v>19</v>
      </c>
      <c r="F1422" t="s">
        <v>28</v>
      </c>
      <c r="G1422" t="s">
        <v>19</v>
      </c>
      <c r="H1422" t="s">
        <v>28</v>
      </c>
      <c r="I1422" t="s">
        <v>19</v>
      </c>
      <c r="J1422" t="s">
        <v>97</v>
      </c>
      <c r="K1422" s="21" t="s">
        <v>607</v>
      </c>
      <c r="L1422" s="5" t="s">
        <v>19</v>
      </c>
      <c r="M1422" s="5" t="s">
        <v>19</v>
      </c>
      <c r="N1422" s="5" t="s">
        <v>19</v>
      </c>
      <c r="O1422" s="5" t="str">
        <f>HYPERLINK("http://www.lghausys.co.kr/popup/rn/download/downloadPopup.jsp?from=plwindow&amp;uu=/upload/window/REPORT/LGH-WA21-076.pdf","1등급")</f>
        <v>1등급</v>
      </c>
      <c r="P1422" s="5" t="s">
        <v>19</v>
      </c>
      <c r="Q1422" s="5" t="s">
        <v>19</v>
      </c>
      <c r="R1422" s="5" t="s">
        <v>19</v>
      </c>
      <c r="S1422" s="5" t="s">
        <v>19</v>
      </c>
      <c r="T1422" s="5" t="s">
        <v>19</v>
      </c>
      <c r="U1422" s="5" t="s">
        <v>19</v>
      </c>
      <c r="V1422" s="5" t="s">
        <v>19</v>
      </c>
      <c r="W1422" s="5" t="s">
        <v>75</v>
      </c>
      <c r="X1422"/>
    </row>
    <row r="1423" spans="1:24">
      <c r="A1423" t="s">
        <v>451</v>
      </c>
      <c r="B1423" t="s">
        <v>451</v>
      </c>
      <c r="C1423" t="s">
        <v>31</v>
      </c>
      <c r="D1423" t="s">
        <v>28</v>
      </c>
      <c r="E1423" t="s">
        <v>558</v>
      </c>
      <c r="F1423" t="s">
        <v>28</v>
      </c>
      <c r="G1423" t="s">
        <v>19</v>
      </c>
      <c r="H1423" t="s">
        <v>28</v>
      </c>
      <c r="I1423" t="s">
        <v>19</v>
      </c>
      <c r="J1423" t="s">
        <v>97</v>
      </c>
      <c r="K1423" s="21" t="s">
        <v>607</v>
      </c>
      <c r="L1423" s="5" t="s">
        <v>19</v>
      </c>
      <c r="M1423" s="5" t="s">
        <v>19</v>
      </c>
      <c r="N1423" s="5" t="s">
        <v>19</v>
      </c>
      <c r="O1423" s="5" t="str">
        <f>HYPERLINK("http://www.lghausys.co.kr/popup/rn/download/downloadPopup.jsp?from=plwindow&amp;uu=/upload/window/REPORT/LGH-WA21-077.pdf","1등급")</f>
        <v>1등급</v>
      </c>
      <c r="P1423" s="5" t="s">
        <v>19</v>
      </c>
      <c r="Q1423" s="5" t="s">
        <v>19</v>
      </c>
      <c r="R1423" s="5" t="s">
        <v>19</v>
      </c>
      <c r="S1423" s="5" t="s">
        <v>19</v>
      </c>
      <c r="T1423" s="5" t="s">
        <v>19</v>
      </c>
      <c r="U1423" s="5" t="s">
        <v>19</v>
      </c>
      <c r="V1423" s="5" t="s">
        <v>19</v>
      </c>
      <c r="W1423" s="5" t="s">
        <v>152</v>
      </c>
      <c r="X1423"/>
    </row>
    <row r="1424" spans="1:24">
      <c r="A1424" t="s">
        <v>592</v>
      </c>
      <c r="B1424" t="s">
        <v>592</v>
      </c>
      <c r="C1424" t="s">
        <v>31</v>
      </c>
      <c r="D1424" t="s">
        <v>593</v>
      </c>
      <c r="E1424" t="s">
        <v>19</v>
      </c>
      <c r="F1424" t="s">
        <v>594</v>
      </c>
      <c r="G1424" t="s">
        <v>182</v>
      </c>
      <c r="H1424" t="s">
        <v>28</v>
      </c>
      <c r="I1424" t="s">
        <v>19</v>
      </c>
      <c r="J1424" t="s">
        <v>97</v>
      </c>
      <c r="K1424" s="21" t="s">
        <v>607</v>
      </c>
      <c r="L1424" s="5" t="s">
        <v>19</v>
      </c>
      <c r="M1424" s="5" t="s">
        <v>19</v>
      </c>
      <c r="N1424" s="5" t="s">
        <v>19</v>
      </c>
      <c r="O1424" s="5" t="str">
        <f>HYPERLINK("http://www.lghausys.co.kr/popup/rn/download/downloadPopup.jsp?from=plwindow&amp;uu=/upload/window/REPORT/LGH-WA21-078.pdf","1등급")</f>
        <v>1등급</v>
      </c>
      <c r="P1424" s="5" t="s">
        <v>19</v>
      </c>
      <c r="Q1424" s="5" t="s">
        <v>19</v>
      </c>
      <c r="R1424" s="5" t="s">
        <v>19</v>
      </c>
      <c r="S1424" s="5" t="s">
        <v>19</v>
      </c>
      <c r="T1424" s="5" t="s">
        <v>19</v>
      </c>
      <c r="U1424" s="5" t="s">
        <v>19</v>
      </c>
      <c r="V1424" s="5" t="s">
        <v>19</v>
      </c>
      <c r="W1424" s="5" t="s">
        <v>152</v>
      </c>
      <c r="X1424"/>
    </row>
    <row r="1425" spans="1:24">
      <c r="A1425" t="s">
        <v>130</v>
      </c>
      <c r="B1425" t="s">
        <v>130</v>
      </c>
      <c r="C1425" t="s">
        <v>31</v>
      </c>
      <c r="D1425" t="s">
        <v>28</v>
      </c>
      <c r="E1425" t="s">
        <v>19</v>
      </c>
      <c r="F1425" t="s">
        <v>19</v>
      </c>
      <c r="G1425" t="s">
        <v>19</v>
      </c>
      <c r="H1425" t="s">
        <v>19</v>
      </c>
      <c r="I1425" t="s">
        <v>19</v>
      </c>
      <c r="J1425" t="s">
        <v>97</v>
      </c>
      <c r="K1425" s="21" t="s">
        <v>607</v>
      </c>
      <c r="L1425" s="5" t="s">
        <v>19</v>
      </c>
      <c r="M1425" s="5" t="s">
        <v>19</v>
      </c>
      <c r="N1425" s="5" t="s">
        <v>19</v>
      </c>
      <c r="O1425" s="5" t="str">
        <f>HYPERLINK("http://www.lghausys.co.kr/popup/rn/download/downloadPopup.jsp?from=plwindow&amp;uu=/upload/window/REPORT/LGH-WA21-079.pdf","2등급")</f>
        <v>2등급</v>
      </c>
      <c r="P1425" s="5" t="s">
        <v>19</v>
      </c>
      <c r="Q1425" s="5" t="s">
        <v>19</v>
      </c>
      <c r="R1425" s="5" t="s">
        <v>19</v>
      </c>
      <c r="S1425" s="5" t="s">
        <v>19</v>
      </c>
      <c r="T1425" s="5" t="s">
        <v>19</v>
      </c>
      <c r="U1425" s="5" t="s">
        <v>19</v>
      </c>
      <c r="V1425" s="5" t="s">
        <v>19</v>
      </c>
      <c r="W1425" s="5" t="s">
        <v>152</v>
      </c>
      <c r="X1425"/>
    </row>
    <row r="1426" spans="1:24">
      <c r="A1426" t="s">
        <v>144</v>
      </c>
      <c r="B1426" t="s">
        <v>144</v>
      </c>
      <c r="C1426" t="s">
        <v>31</v>
      </c>
      <c r="D1426" t="s">
        <v>28</v>
      </c>
      <c r="E1426" t="s">
        <v>19</v>
      </c>
      <c r="F1426" t="s">
        <v>19</v>
      </c>
      <c r="G1426" t="s">
        <v>19</v>
      </c>
      <c r="H1426" t="s">
        <v>25</v>
      </c>
      <c r="I1426" t="s">
        <v>19</v>
      </c>
      <c r="J1426" t="s">
        <v>97</v>
      </c>
      <c r="K1426" s="21" t="s">
        <v>607</v>
      </c>
      <c r="L1426" s="5" t="s">
        <v>19</v>
      </c>
      <c r="M1426" s="5" t="s">
        <v>19</v>
      </c>
      <c r="N1426" s="5" t="s">
        <v>19</v>
      </c>
      <c r="O1426" s="5" t="str">
        <f>HYPERLINK("http://www.lghausys.co.kr/popup/rn/download/downloadPopup.jsp?from=plwindow&amp;uu=/upload/window/REPORT/LGH-WA21-080.pdf","1등급")</f>
        <v>1등급</v>
      </c>
      <c r="P1426" s="5" t="s">
        <v>19</v>
      </c>
      <c r="Q1426" s="5" t="s">
        <v>19</v>
      </c>
      <c r="R1426" s="5" t="s">
        <v>19</v>
      </c>
      <c r="S1426" s="5" t="s">
        <v>19</v>
      </c>
      <c r="T1426" s="5" t="s">
        <v>19</v>
      </c>
      <c r="U1426" s="5" t="s">
        <v>19</v>
      </c>
      <c r="V1426" s="5" t="s">
        <v>19</v>
      </c>
      <c r="W1426" s="5" t="s">
        <v>152</v>
      </c>
      <c r="X1426"/>
    </row>
    <row r="1427" spans="1:24">
      <c r="A1427" t="s">
        <v>595</v>
      </c>
      <c r="B1427" t="s">
        <v>595</v>
      </c>
      <c r="C1427" t="s">
        <v>14</v>
      </c>
      <c r="D1427" t="s">
        <v>204</v>
      </c>
      <c r="E1427" t="s">
        <v>19</v>
      </c>
      <c r="F1427" t="s">
        <v>25</v>
      </c>
      <c r="G1427" t="s">
        <v>551</v>
      </c>
      <c r="H1427" t="s">
        <v>28</v>
      </c>
      <c r="I1427" t="s">
        <v>19</v>
      </c>
      <c r="J1427" t="s">
        <v>97</v>
      </c>
      <c r="K1427" s="21" t="s">
        <v>607</v>
      </c>
      <c r="L1427" s="5" t="s">
        <v>19</v>
      </c>
      <c r="M1427" s="5" t="s">
        <v>19</v>
      </c>
      <c r="N1427" s="5" t="s">
        <v>19</v>
      </c>
      <c r="O1427" s="5" t="s">
        <v>19</v>
      </c>
      <c r="P1427" s="5" t="s">
        <v>19</v>
      </c>
      <c r="Q1427" s="5" t="s">
        <v>19</v>
      </c>
      <c r="R1427" s="5" t="s">
        <v>19</v>
      </c>
      <c r="S1427" s="5" t="s">
        <v>19</v>
      </c>
      <c r="T1427" s="5" t="str">
        <f>HYPERLINK("http://www.lghausys.co.kr/popup/rn/download/downloadPopup.jsp?from=plwindow&amp;uu=/upload/window/REPORT/LGH-DA21-023.pdf","결로발생없음")</f>
        <v>결로발생없음</v>
      </c>
      <c r="U1427" s="5" t="s">
        <v>19</v>
      </c>
      <c r="V1427" s="5" t="s">
        <v>19</v>
      </c>
      <c r="W1427" s="5" t="s">
        <v>75</v>
      </c>
      <c r="X1427"/>
    </row>
    <row r="1428" spans="1:24">
      <c r="A1428" t="s">
        <v>451</v>
      </c>
      <c r="B1428" t="s">
        <v>451</v>
      </c>
      <c r="C1428" t="s">
        <v>14</v>
      </c>
      <c r="D1428" t="s">
        <v>28</v>
      </c>
      <c r="E1428" t="s">
        <v>558</v>
      </c>
      <c r="F1428" t="s">
        <v>28</v>
      </c>
      <c r="G1428" t="s">
        <v>19</v>
      </c>
      <c r="H1428" t="s">
        <v>28</v>
      </c>
      <c r="I1428" t="s">
        <v>19</v>
      </c>
      <c r="J1428" t="s">
        <v>97</v>
      </c>
      <c r="K1428" s="21" t="s">
        <v>607</v>
      </c>
      <c r="L1428" s="5" t="s">
        <v>19</v>
      </c>
      <c r="M1428" s="5" t="s">
        <v>19</v>
      </c>
      <c r="N1428" s="5" t="s">
        <v>19</v>
      </c>
      <c r="O1428" s="5" t="s">
        <v>19</v>
      </c>
      <c r="P1428" s="5" t="s">
        <v>19</v>
      </c>
      <c r="Q1428" s="5" t="s">
        <v>19</v>
      </c>
      <c r="R1428" s="5" t="s">
        <v>19</v>
      </c>
      <c r="S1428" s="5" t="s">
        <v>19</v>
      </c>
      <c r="T1428" s="5" t="str">
        <f>HYPERLINK("http://www.lghausys.co.kr/popup/rn/download/downloadPopup.jsp?from=plwindow&amp;uu=/upload/window/REPORT/LGH-DA21-024.pdf","결로발생없음")</f>
        <v>결로발생없음</v>
      </c>
      <c r="U1428" s="5" t="s">
        <v>19</v>
      </c>
      <c r="V1428" s="5" t="s">
        <v>19</v>
      </c>
      <c r="W1428" s="5" t="s">
        <v>75</v>
      </c>
      <c r="X1428"/>
    </row>
    <row r="1429" spans="1:24">
      <c r="A1429" t="s">
        <v>592</v>
      </c>
      <c r="B1429" t="s">
        <v>592</v>
      </c>
      <c r="C1429" t="s">
        <v>14</v>
      </c>
      <c r="D1429" t="s">
        <v>593</v>
      </c>
      <c r="E1429" t="s">
        <v>19</v>
      </c>
      <c r="F1429" t="s">
        <v>594</v>
      </c>
      <c r="G1429" t="s">
        <v>182</v>
      </c>
      <c r="H1429" t="s">
        <v>28</v>
      </c>
      <c r="I1429" t="s">
        <v>19</v>
      </c>
      <c r="J1429" t="s">
        <v>97</v>
      </c>
      <c r="K1429" s="21" t="s">
        <v>607</v>
      </c>
      <c r="L1429" s="5" t="s">
        <v>19</v>
      </c>
      <c r="M1429" s="5" t="s">
        <v>19</v>
      </c>
      <c r="N1429" s="5" t="s">
        <v>19</v>
      </c>
      <c r="O1429" s="5" t="s">
        <v>19</v>
      </c>
      <c r="P1429" s="5" t="s">
        <v>19</v>
      </c>
      <c r="Q1429" s="5" t="s">
        <v>19</v>
      </c>
      <c r="R1429" s="5" t="s">
        <v>19</v>
      </c>
      <c r="S1429" s="5" t="s">
        <v>19</v>
      </c>
      <c r="T1429" s="5" t="str">
        <f>HYPERLINK("http://www.lghausys.co.kr/popup/rn/download/downloadPopup.jsp?from=plwindow&amp;uu=/upload/window/REPORT/LGH-DA21-025.pdf","결로발생없음")</f>
        <v>결로발생없음</v>
      </c>
      <c r="U1429" s="5" t="s">
        <v>19</v>
      </c>
      <c r="V1429" s="5" t="s">
        <v>19</v>
      </c>
      <c r="W1429" s="5" t="s">
        <v>75</v>
      </c>
      <c r="X1429"/>
    </row>
    <row r="1430" spans="1:24">
      <c r="A1430" t="s">
        <v>139</v>
      </c>
      <c r="B1430" t="s">
        <v>139</v>
      </c>
      <c r="C1430" t="s">
        <v>14</v>
      </c>
      <c r="D1430" t="s">
        <v>588</v>
      </c>
      <c r="E1430" t="s">
        <v>19</v>
      </c>
      <c r="F1430" t="s">
        <v>64</v>
      </c>
      <c r="G1430" t="s">
        <v>182</v>
      </c>
      <c r="H1430" t="s">
        <v>64</v>
      </c>
      <c r="I1430" t="s">
        <v>19</v>
      </c>
      <c r="J1430" t="s">
        <v>74</v>
      </c>
      <c r="K1430" s="21" t="s">
        <v>607</v>
      </c>
      <c r="L1430" s="5" t="s">
        <v>19</v>
      </c>
      <c r="M1430" s="5" t="s">
        <v>19</v>
      </c>
      <c r="N1430" s="5" t="s">
        <v>19</v>
      </c>
      <c r="O1430" s="5" t="s">
        <v>19</v>
      </c>
      <c r="P1430" s="5" t="s">
        <v>19</v>
      </c>
      <c r="Q1430" s="5" t="s">
        <v>19</v>
      </c>
      <c r="R1430" s="5" t="s">
        <v>19</v>
      </c>
      <c r="S1430" s="5" t="s">
        <v>19</v>
      </c>
      <c r="T1430" s="5" t="str">
        <f>HYPERLINK("http://www.lghausys.co.kr/popup/rn/download/downloadPopup.jsp?from=plwindow&amp;uu=/upload/window/REPORT/LGH-DA21-026.pdf","결로발생없음")</f>
        <v>결로발생없음</v>
      </c>
      <c r="U1430" s="5" t="s">
        <v>19</v>
      </c>
      <c r="V1430" s="5" t="s">
        <v>19</v>
      </c>
      <c r="W1430" s="5" t="s">
        <v>75</v>
      </c>
      <c r="X1430"/>
    </row>
    <row r="1431" spans="1:24">
      <c r="A1431" t="s">
        <v>596</v>
      </c>
      <c r="B1431" t="s">
        <v>596</v>
      </c>
      <c r="C1431" t="s">
        <v>14</v>
      </c>
      <c r="D1431" t="s">
        <v>524</v>
      </c>
      <c r="E1431" t="s">
        <v>19</v>
      </c>
      <c r="F1431" t="s">
        <v>102</v>
      </c>
      <c r="G1431" t="s">
        <v>182</v>
      </c>
      <c r="H1431" t="s">
        <v>102</v>
      </c>
      <c r="I1431" t="s">
        <v>19</v>
      </c>
      <c r="J1431" t="s">
        <v>97</v>
      </c>
      <c r="K1431" s="21" t="s">
        <v>607</v>
      </c>
      <c r="L1431" s="5" t="s">
        <v>19</v>
      </c>
      <c r="M1431" s="5" t="s">
        <v>19</v>
      </c>
      <c r="N1431" s="5" t="s">
        <v>19</v>
      </c>
      <c r="O1431" s="5" t="s">
        <v>19</v>
      </c>
      <c r="P1431" s="5" t="s">
        <v>19</v>
      </c>
      <c r="Q1431" s="5" t="s">
        <v>19</v>
      </c>
      <c r="R1431" s="5" t="s">
        <v>19</v>
      </c>
      <c r="S1431" s="5" t="s">
        <v>19</v>
      </c>
      <c r="T1431" s="5" t="str">
        <f>HYPERLINK("http://www.lghausys.co.kr/popup/rn/download/downloadPopup.jsp?from=plwindow&amp;uu=/upload/window/REPORT/LGH-DA21-027.pdf","결로발생없음")</f>
        <v>결로발생없음</v>
      </c>
      <c r="U1431" s="5" t="s">
        <v>19</v>
      </c>
      <c r="V1431" s="5" t="s">
        <v>19</v>
      </c>
      <c r="W1431" s="5" t="s">
        <v>75</v>
      </c>
      <c r="X1431"/>
    </row>
    <row r="1432" spans="1:24">
      <c r="A1432" t="s">
        <v>595</v>
      </c>
      <c r="B1432" t="s">
        <v>595</v>
      </c>
      <c r="C1432" t="s">
        <v>34</v>
      </c>
      <c r="D1432" t="s">
        <v>204</v>
      </c>
      <c r="E1432" t="s">
        <v>19</v>
      </c>
      <c r="F1432" t="s">
        <v>25</v>
      </c>
      <c r="G1432" t="s">
        <v>182</v>
      </c>
      <c r="H1432" t="s">
        <v>28</v>
      </c>
      <c r="I1432" t="s">
        <v>19</v>
      </c>
      <c r="J1432" t="s">
        <v>97</v>
      </c>
      <c r="K1432" s="21" t="s">
        <v>607</v>
      </c>
      <c r="L1432" s="5" t="s">
        <v>19</v>
      </c>
      <c r="M1432" s="5" t="s">
        <v>19</v>
      </c>
      <c r="N1432" s="5" t="str">
        <f>HYPERLINK("http://www.lghausys.co.kr/popup/rn/download/downloadPopup.jsp?from=plwindow&amp;uu=/upload/window/REPORT/LGH-TA21-073.pdf","0.962")</f>
        <v>0.962</v>
      </c>
      <c r="O1432" s="5" t="s">
        <v>19</v>
      </c>
      <c r="P1432" s="5" t="s">
        <v>19</v>
      </c>
      <c r="Q1432" s="5" t="s">
        <v>19</v>
      </c>
      <c r="R1432" s="5" t="s">
        <v>19</v>
      </c>
      <c r="S1432" s="5" t="s">
        <v>19</v>
      </c>
      <c r="T1432" s="5" t="s">
        <v>19</v>
      </c>
      <c r="U1432" s="5" t="s">
        <v>19</v>
      </c>
      <c r="V1432" s="5" t="s">
        <v>19</v>
      </c>
      <c r="W1432" s="5" t="s">
        <v>75</v>
      </c>
      <c r="X1432"/>
    </row>
    <row r="1433" spans="1:24">
      <c r="A1433" t="s">
        <v>451</v>
      </c>
      <c r="B1433" t="s">
        <v>451</v>
      </c>
      <c r="C1433" t="s">
        <v>34</v>
      </c>
      <c r="D1433" t="s">
        <v>28</v>
      </c>
      <c r="E1433" t="s">
        <v>558</v>
      </c>
      <c r="F1433" t="s">
        <v>28</v>
      </c>
      <c r="G1433" t="s">
        <v>19</v>
      </c>
      <c r="H1433" t="s">
        <v>28</v>
      </c>
      <c r="I1433" t="s">
        <v>19</v>
      </c>
      <c r="J1433" t="s">
        <v>97</v>
      </c>
      <c r="K1433" s="21" t="s">
        <v>607</v>
      </c>
      <c r="L1433" s="5" t="s">
        <v>19</v>
      </c>
      <c r="M1433" s="5" t="s">
        <v>19</v>
      </c>
      <c r="N1433" s="5" t="str">
        <f>HYPERLINK("http://www.lghausys.co.kr/popup/rn/download/downloadPopup.jsp?from=plwindow&amp;uu=/upload/window/REPORT/LGH-TA21-074.pdf","0.943")</f>
        <v>0.943</v>
      </c>
      <c r="O1433" s="5" t="s">
        <v>19</v>
      </c>
      <c r="P1433" s="5" t="s">
        <v>19</v>
      </c>
      <c r="Q1433" s="5" t="s">
        <v>19</v>
      </c>
      <c r="R1433" s="5" t="s">
        <v>19</v>
      </c>
      <c r="S1433" s="5" t="s">
        <v>19</v>
      </c>
      <c r="T1433" s="5" t="s">
        <v>19</v>
      </c>
      <c r="U1433" s="5" t="s">
        <v>19</v>
      </c>
      <c r="V1433" s="5" t="s">
        <v>19</v>
      </c>
      <c r="W1433" s="5" t="s">
        <v>75</v>
      </c>
      <c r="X1433"/>
    </row>
    <row r="1434" spans="1:24">
      <c r="A1434" t="s">
        <v>592</v>
      </c>
      <c r="B1434" t="s">
        <v>592</v>
      </c>
      <c r="C1434" t="s">
        <v>34</v>
      </c>
      <c r="D1434" t="s">
        <v>593</v>
      </c>
      <c r="E1434" t="s">
        <v>19</v>
      </c>
      <c r="F1434" t="s">
        <v>594</v>
      </c>
      <c r="G1434" t="s">
        <v>182</v>
      </c>
      <c r="H1434" t="s">
        <v>28</v>
      </c>
      <c r="I1434" t="s">
        <v>19</v>
      </c>
      <c r="J1434" t="s">
        <v>97</v>
      </c>
      <c r="K1434" s="21" t="s">
        <v>607</v>
      </c>
      <c r="L1434" s="5" t="s">
        <v>19</v>
      </c>
      <c r="M1434" s="5" t="s">
        <v>19</v>
      </c>
      <c r="N1434" s="5" t="str">
        <f>HYPERLINK("http://www.lghausys.co.kr/popup/rn/download/downloadPopup.jsp?from=plwindow&amp;uu=/upload/window/REPORT/LGH-TA21-075.pdf","0.8029")</f>
        <v>0.8029</v>
      </c>
      <c r="O1434" s="5" t="s">
        <v>19</v>
      </c>
      <c r="P1434" s="5" t="s">
        <v>19</v>
      </c>
      <c r="Q1434" s="5" t="s">
        <v>19</v>
      </c>
      <c r="R1434" s="5" t="s">
        <v>19</v>
      </c>
      <c r="S1434" s="5" t="s">
        <v>19</v>
      </c>
      <c r="T1434" s="5" t="s">
        <v>19</v>
      </c>
      <c r="U1434" s="5" t="s">
        <v>19</v>
      </c>
      <c r="V1434" s="5" t="s">
        <v>19</v>
      </c>
      <c r="W1434" s="5" t="s">
        <v>75</v>
      </c>
      <c r="X1434"/>
    </row>
    <row r="1435" spans="1:24">
      <c r="A1435" t="s">
        <v>597</v>
      </c>
      <c r="B1435" t="s">
        <v>597</v>
      </c>
      <c r="C1435" t="s">
        <v>34</v>
      </c>
      <c r="D1435" t="s">
        <v>598</v>
      </c>
      <c r="E1435" t="s">
        <v>19</v>
      </c>
      <c r="F1435" t="s">
        <v>25</v>
      </c>
      <c r="G1435" t="s">
        <v>182</v>
      </c>
      <c r="H1435" t="s">
        <v>241</v>
      </c>
      <c r="I1435" t="s">
        <v>19</v>
      </c>
      <c r="J1435" t="s">
        <v>74</v>
      </c>
      <c r="K1435" s="21" t="s">
        <v>607</v>
      </c>
      <c r="L1435" s="5" t="s">
        <v>19</v>
      </c>
      <c r="M1435" s="5" t="s">
        <v>19</v>
      </c>
      <c r="N1435" s="5" t="str">
        <f>HYPERLINK("http://www.lghausys.co.kr/popup/rn/download/downloadPopup.jsp?from=plwindow&amp;uu=/upload/window/REPORT/LGH-TA21-080.pdf","0.976")</f>
        <v>0.976</v>
      </c>
      <c r="O1435" s="5" t="s">
        <v>19</v>
      </c>
      <c r="P1435" s="5" t="s">
        <v>19</v>
      </c>
      <c r="Q1435" s="5" t="s">
        <v>19</v>
      </c>
      <c r="R1435" s="5" t="s">
        <v>19</v>
      </c>
      <c r="S1435" s="5" t="s">
        <v>19</v>
      </c>
      <c r="T1435" s="5" t="s">
        <v>19</v>
      </c>
      <c r="U1435" s="5" t="s">
        <v>19</v>
      </c>
      <c r="V1435" s="5" t="s">
        <v>19</v>
      </c>
      <c r="W1435" s="5" t="s">
        <v>75</v>
      </c>
      <c r="X1435"/>
    </row>
    <row r="1436" spans="1:24">
      <c r="A1436" t="s">
        <v>599</v>
      </c>
      <c r="B1436" t="s">
        <v>599</v>
      </c>
      <c r="C1436" t="s">
        <v>34</v>
      </c>
      <c r="D1436" t="s">
        <v>600</v>
      </c>
      <c r="E1436" t="s">
        <v>19</v>
      </c>
      <c r="F1436" t="s">
        <v>241</v>
      </c>
      <c r="G1436" t="s">
        <v>182</v>
      </c>
      <c r="H1436" t="s">
        <v>19</v>
      </c>
      <c r="I1436" t="s">
        <v>19</v>
      </c>
      <c r="J1436" t="s">
        <v>74</v>
      </c>
      <c r="K1436" s="21" t="s">
        <v>607</v>
      </c>
      <c r="L1436" s="5" t="s">
        <v>19</v>
      </c>
      <c r="M1436" s="5" t="s">
        <v>19</v>
      </c>
      <c r="N1436" s="5" t="str">
        <f>HYPERLINK("http://www.lghausys.co.kr/popup/rn/download/downloadPopup.jsp?from=plwindow&amp;uu=/upload/window/REPORT/LGH-TA21-082.pdf","2.088")</f>
        <v>2.088</v>
      </c>
      <c r="O1436" s="5" t="s">
        <v>19</v>
      </c>
      <c r="P1436" s="5" t="s">
        <v>19</v>
      </c>
      <c r="Q1436" s="5" t="s">
        <v>19</v>
      </c>
      <c r="R1436" s="5" t="s">
        <v>19</v>
      </c>
      <c r="S1436" s="5" t="s">
        <v>19</v>
      </c>
      <c r="T1436" s="5" t="s">
        <v>19</v>
      </c>
      <c r="U1436" s="5" t="s">
        <v>19</v>
      </c>
      <c r="V1436" s="5" t="s">
        <v>19</v>
      </c>
      <c r="W1436" s="5" t="s">
        <v>75</v>
      </c>
      <c r="X1436"/>
    </row>
    <row r="1437" spans="1:24">
      <c r="A1437" t="s">
        <v>507</v>
      </c>
      <c r="B1437" t="s">
        <v>507</v>
      </c>
      <c r="C1437" t="s">
        <v>20</v>
      </c>
      <c r="D1437" t="s">
        <v>601</v>
      </c>
      <c r="E1437" t="s">
        <v>19</v>
      </c>
      <c r="F1437" t="s">
        <v>19</v>
      </c>
      <c r="G1437" t="s">
        <v>19</v>
      </c>
      <c r="H1437" t="s">
        <v>19</v>
      </c>
      <c r="I1437" t="s">
        <v>19</v>
      </c>
      <c r="J1437" t="s">
        <v>184</v>
      </c>
      <c r="K1437" s="21" t="str">
        <f>IF(X1437&lt;=0.9,HYPERLINK("http://www.lxhausys.co.kr/popup/rn/download/downloadPopup.jsp?from=plwindow&amp;uu=/upload/window/REPORT/LGH-TW21-040.pdf","1등급"),IF(X1437&lt;=1.2,HYPERLINK("http://www.lxhausys.co.kr/popup/rn/download/downloadPopup.jsp?from=plwindow&amp;uu=/upload/window/REPORT/LGH-TW21-040.pdf","2등급"),IF(X1437&lt;=1.8,HYPERLINK("http://www.lxhausys.co.kr/popup/rn/download/downloadPopup.jsp?from=plwindow&amp;uu=/upload/window/REPORT/LGH-TW21-040.pdf","3등급"),IF(X1437&lt;=2.3,HYPERLINK("http://www.lxhausys.co.kr/popup/rn/download/downloadPopup.jsp?from=plwindow&amp;uu=/upload/window/REPORT/LGH-TW21-040.pdf","4등급"),IF(X1437&lt;=2.8,HYPERLINK("http://www.lxhausys.co.kr/popup/rn/download/downloadPopup.jsp?from=plwindow&amp;uu=/upload/window/REPORT/LGH-TW21-040.pdf","5등급"),HYPERLINK("http://www.lxhausys.co.kr/popup/rn/download/downloadPopup.jsp?from=plwindow&amp;uu=/upload/window/REPORT/LGH-TW21-040.pdf","등급외"))))))</f>
        <v>1등급</v>
      </c>
      <c r="L1437">
        <v>0.88900000000000001</v>
      </c>
      <c r="M1437" t="s">
        <v>602</v>
      </c>
      <c r="N1437" s="5" t="s">
        <v>607</v>
      </c>
      <c r="O1437" t="s">
        <v>19</v>
      </c>
      <c r="P1437" t="s">
        <v>19</v>
      </c>
      <c r="Q1437" t="s">
        <v>19</v>
      </c>
      <c r="R1437" t="s">
        <v>19</v>
      </c>
      <c r="S1437" t="s">
        <v>19</v>
      </c>
      <c r="T1437" t="s">
        <v>19</v>
      </c>
      <c r="U1437" t="s">
        <v>19</v>
      </c>
      <c r="V1437" t="s">
        <v>19</v>
      </c>
      <c r="W1437" t="s">
        <v>19</v>
      </c>
      <c r="X1437" s="19">
        <f t="shared" ref="X1437:X1442" si="17">L1437</f>
        <v>0.88900000000000001</v>
      </c>
    </row>
    <row r="1438" spans="1:24" s="25" customFormat="1">
      <c r="A1438" s="22" t="s">
        <v>430</v>
      </c>
      <c r="B1438" s="22" t="s">
        <v>197</v>
      </c>
      <c r="C1438" s="22" t="s">
        <v>20</v>
      </c>
      <c r="D1438" s="22" t="s">
        <v>431</v>
      </c>
      <c r="E1438" s="22" t="s">
        <v>19</v>
      </c>
      <c r="F1438" s="22" t="s">
        <v>19</v>
      </c>
      <c r="G1438" s="22" t="s">
        <v>19</v>
      </c>
      <c r="H1438" s="22" t="s">
        <v>19</v>
      </c>
      <c r="I1438" s="22" t="s">
        <v>19</v>
      </c>
      <c r="J1438" s="22" t="s">
        <v>286</v>
      </c>
      <c r="K1438" s="23" t="str">
        <f>IF(X1438&lt;=0.9,HYPERLINK("http://www.lxhausys.co.kr/popup/rn/download/downloadPopup.jsp?from=plwindow&amp;uu=/upload/window/REPORT/LGH-TW20-035.pdf","1등급"),IF(X1438&lt;=1.2,HYPERLINK("http://www.lxhausys.co.kr/popup/rn/download/downloadPopup.jsp?from=plwindow&amp;uu=/upload/window/REPORT/LGH-TW20-035.pdf","2등급"),IF(X1438&lt;=1.8,HYPERLINK("http://www.lxhausys.co.kr/popup/rn/download/downloadPopup.jsp?from=plwindow&amp;uu=/upload/window/REPORT/LGH-TW20-035.pdf","3등급"),IF(X1438&lt;=2.3,HYPERLINK("http://www.lxhausys.co.kr/popup/rn/download/downloadPopup.jsp?from=plwindow&amp;uu=/upload/window/REPORT/LGH-TW20-035.pdf","4등급"),IF(X1438&lt;=2.8,HYPERLINK("http://www.lxhausys.co.kr/popup/rn/download/downloadPopup.jsp?from=plwindow&amp;uu=/upload/window/REPORT/LGH-TW20-035.pdf","5등급"),HYPERLINK("http://www.lxhausys.co.kr/popup/rn/download/downloadPopup.jsp?from=plwindow&amp;uu=/upload/window/REPORT/LGH-TW20-035.pdf","등급외"))))))</f>
        <v>1등급</v>
      </c>
      <c r="L1438" s="22">
        <v>0.83399999999999996</v>
      </c>
      <c r="M1438" s="22" t="s">
        <v>22</v>
      </c>
      <c r="N1438" s="23" t="s">
        <v>607</v>
      </c>
      <c r="O1438" s="22" t="s">
        <v>19</v>
      </c>
      <c r="P1438" s="22" t="s">
        <v>19</v>
      </c>
      <c r="Q1438" s="22" t="s">
        <v>19</v>
      </c>
      <c r="R1438" s="22" t="s">
        <v>19</v>
      </c>
      <c r="S1438" s="22" t="s">
        <v>19</v>
      </c>
      <c r="T1438" s="22" t="s">
        <v>19</v>
      </c>
      <c r="U1438" s="22" t="s">
        <v>19</v>
      </c>
      <c r="V1438" s="22" t="s">
        <v>19</v>
      </c>
      <c r="W1438" s="22" t="s">
        <v>19</v>
      </c>
      <c r="X1438" s="24">
        <f t="shared" si="17"/>
        <v>0.83399999999999996</v>
      </c>
    </row>
    <row r="1439" spans="1:24" s="25" customFormat="1">
      <c r="A1439" s="22" t="s">
        <v>430</v>
      </c>
      <c r="B1439" s="22" t="s">
        <v>197</v>
      </c>
      <c r="C1439" s="22" t="s">
        <v>20</v>
      </c>
      <c r="D1439" s="22" t="s">
        <v>432</v>
      </c>
      <c r="E1439" s="22" t="s">
        <v>19</v>
      </c>
      <c r="F1439" s="22" t="s">
        <v>19</v>
      </c>
      <c r="G1439" s="22" t="s">
        <v>19</v>
      </c>
      <c r="H1439" s="22" t="s">
        <v>19</v>
      </c>
      <c r="I1439" s="22" t="s">
        <v>19</v>
      </c>
      <c r="J1439" s="22" t="s">
        <v>286</v>
      </c>
      <c r="K1439" s="23" t="str">
        <f>IF(X1439&lt;=0.9,HYPERLINK("http://www.lxhausys.co.kr/popup/rn/download/downloadPopup.jsp?from=plwindow&amp;uu=/upload/window/REPORT/LGH-TW20-044.pdf","1등급"),IF(X1439&lt;=1.2,HYPERLINK("http://www.lxhausys.co.kr/popup/rn/download/downloadPopup.jsp?from=plwindow&amp;uu=/upload/window/REPORT/LGH-TW20-044.pdf","2등급"),IF(X1439&lt;=1.8,HYPERLINK("http://www.lxhausys.co.kr/popup/rn/download/downloadPopup.jsp?from=plwindow&amp;uu=/upload/window/REPORT/LGH-TW20-044.pdf","3등급"),IF(X1439&lt;=2.3,HYPERLINK("http://www.lxhausys.co.kr/popup/rn/download/downloadPopup.jsp?from=plwindow&amp;uu=/upload/window/REPORT/LGH-TW20-044.pdf","4등급"),IF(X1439&lt;=2.8,HYPERLINK("http://www.lxhausys.co.kr/popup/rn/download/downloadPopup.jsp?from=plwindow&amp;uu=/upload/window/REPORT/LGH-TW20-044.pdf","5등급"),HYPERLINK("http://www.lxhausys.co.kr/popup/rn/download/downloadPopup.jsp?from=plwindow&amp;uu=/upload/window/REPORT/LGH-TW20-044.pdf","등급외"))))))</f>
        <v>1등급</v>
      </c>
      <c r="L1439" s="22">
        <v>0.82099999999999995</v>
      </c>
      <c r="M1439" s="22" t="s">
        <v>22</v>
      </c>
      <c r="N1439" s="23" t="s">
        <v>607</v>
      </c>
      <c r="O1439" s="22" t="s">
        <v>19</v>
      </c>
      <c r="P1439" s="22" t="s">
        <v>19</v>
      </c>
      <c r="Q1439" s="22" t="s">
        <v>19</v>
      </c>
      <c r="R1439" s="22" t="s">
        <v>19</v>
      </c>
      <c r="S1439" s="22" t="s">
        <v>19</v>
      </c>
      <c r="T1439" s="22" t="s">
        <v>19</v>
      </c>
      <c r="U1439" s="22" t="s">
        <v>19</v>
      </c>
      <c r="V1439" s="22" t="s">
        <v>19</v>
      </c>
      <c r="W1439" s="22" t="s">
        <v>19</v>
      </c>
      <c r="X1439" s="24">
        <f t="shared" si="17"/>
        <v>0.82099999999999995</v>
      </c>
    </row>
    <row r="1440" spans="1:24" s="25" customFormat="1">
      <c r="A1440" s="22" t="s">
        <v>433</v>
      </c>
      <c r="B1440" s="22" t="s">
        <v>434</v>
      </c>
      <c r="C1440" s="22" t="s">
        <v>20</v>
      </c>
      <c r="D1440" s="22" t="s">
        <v>198</v>
      </c>
      <c r="E1440" s="22" t="s">
        <v>19</v>
      </c>
      <c r="F1440" s="22" t="s">
        <v>19</v>
      </c>
      <c r="G1440" s="22" t="s">
        <v>19</v>
      </c>
      <c r="H1440" s="22" t="s">
        <v>19</v>
      </c>
      <c r="I1440" s="22" t="s">
        <v>19</v>
      </c>
      <c r="J1440" s="22" t="s">
        <v>74</v>
      </c>
      <c r="K1440" s="23" t="str">
        <f>IF(X1440&lt;=0.9,HYPERLINK("http://www.lxhausys.co.kr/popup/rn/download/downloadPopup.jsp?from=plwindow&amp;uu=/upload/window/REPORT/LGH-TW20-053.pdf","1등급"),IF(X1440&lt;=1.2,HYPERLINK("http://www.lxhausys.co.kr/popup/rn/download/downloadPopup.jsp?from=plwindow&amp;uu=/upload/window/REPORT/LGH-TW20-053.pdf","2등급"),IF(X1440&lt;=1.8,HYPERLINK("http://www.lxhausys.co.kr/popup/rn/download/downloadPopup.jsp?from=plwindow&amp;uu=/upload/window/REPORT/LGH-TW20-053.pdf","3등급"),IF(X1440&lt;=2.3,HYPERLINK("http://www.lxhausys.co.kr/popup/rn/download/downloadPopup.jsp?from=plwindow&amp;uu=/upload/window/REPORT/LGH-TW20-053.pdf","4등급"),IF(X1440&lt;=2.8,HYPERLINK("http://www.lxhausys.co.kr/popup/rn/download/downloadPopup.jsp?from=plwindow&amp;uu=/upload/window/REPORT/LGH-TW20-053.pdf","5등급"),HYPERLINK("http://www.lxhausys.co.kr/popup/rn/download/downloadPopup.jsp?from=plwindow&amp;uu=/upload/window/REPORT/LGH-TW20-053.pdf","등급외"))))))</f>
        <v>3등급</v>
      </c>
      <c r="L1440" s="22">
        <v>1.238</v>
      </c>
      <c r="M1440" s="22" t="s">
        <v>22</v>
      </c>
      <c r="N1440" s="23" t="s">
        <v>607</v>
      </c>
      <c r="O1440" s="22" t="s">
        <v>19</v>
      </c>
      <c r="P1440" s="22" t="s">
        <v>19</v>
      </c>
      <c r="Q1440" s="22" t="s">
        <v>19</v>
      </c>
      <c r="R1440" s="22" t="s">
        <v>19</v>
      </c>
      <c r="S1440" s="22" t="s">
        <v>19</v>
      </c>
      <c r="T1440" s="22" t="s">
        <v>19</v>
      </c>
      <c r="U1440" s="22" t="s">
        <v>19</v>
      </c>
      <c r="V1440" s="22" t="s">
        <v>19</v>
      </c>
      <c r="W1440" s="22" t="s">
        <v>19</v>
      </c>
      <c r="X1440" s="24">
        <f t="shared" si="17"/>
        <v>1.238</v>
      </c>
    </row>
    <row r="1441" spans="1:24" s="25" customFormat="1">
      <c r="A1441" s="22" t="s">
        <v>435</v>
      </c>
      <c r="B1441" s="22"/>
      <c r="C1441" s="22" t="s">
        <v>20</v>
      </c>
      <c r="D1441" s="22" t="s">
        <v>436</v>
      </c>
      <c r="E1441" s="22" t="s">
        <v>19</v>
      </c>
      <c r="F1441" s="22" t="s">
        <v>19</v>
      </c>
      <c r="G1441" s="22" t="s">
        <v>19</v>
      </c>
      <c r="H1441" s="22" t="s">
        <v>19</v>
      </c>
      <c r="I1441" s="22" t="s">
        <v>19</v>
      </c>
      <c r="J1441" s="22" t="s">
        <v>286</v>
      </c>
      <c r="K1441" s="23" t="str">
        <f>IF(X1441&lt;=0.9,HYPERLINK("http://www.lxhausys.co.kr/popup/rn/download/downloadPopup.jsp?from=plwindow&amp;uu=/upload/window/REPORT/LXH-TW22-011.pdf","1등급"),IF(X1441&lt;=1.2,HYPERLINK("http://www.lxhausys.co.kr/popup/rn/download/downloadPopup.jsp?from=plwindow&amp;uu=/upload/window/REPORT/LXH-TW22-011.pdf","2등급"),IF(X1441&lt;=1.8,HYPERLINK("http://www.lxhausys.co.kr/popup/rn/download/downloadPopup.jsp?from=plwindow&amp;uu=/upload/window/REPORT/LXH-TW22-011.pdf","3등급"),IF(X1441&lt;=2.3,HYPERLINK("http://www.lxhausys.co.kr/popup/rn/download/downloadPopup.jsp?from=plwindow&amp;uu=/upload/window/REPORT/LXH-TW22-011.pdf","4등급"),IF(X1441&lt;=2.8,HYPERLINK("http://www.lxhausys.co.kr/popup/rn/download/downloadPopup.jsp?from=plwindow&amp;uu=/upload/window/REPORT/LXH-TW22-011.pdf","5등급"),HYPERLINK("http://www.lxhausys.co.kr/popup/rn/download/downloadPopup.jsp?from=plwindow&amp;uu=/upload/window/REPORT/LXH-TW22-011.pdf","등급외"))))))</f>
        <v>1등급</v>
      </c>
      <c r="L1441" s="22">
        <v>0.88700000000000001</v>
      </c>
      <c r="M1441" s="22" t="s">
        <v>22</v>
      </c>
      <c r="N1441" s="23" t="s">
        <v>607</v>
      </c>
      <c r="O1441" s="23" t="s">
        <v>19</v>
      </c>
      <c r="P1441" s="23" t="s">
        <v>19</v>
      </c>
      <c r="Q1441" s="23" t="s">
        <v>19</v>
      </c>
      <c r="R1441" s="23" t="s">
        <v>19</v>
      </c>
      <c r="S1441" s="23" t="s">
        <v>19</v>
      </c>
      <c r="T1441" s="23" t="s">
        <v>19</v>
      </c>
      <c r="U1441" s="23" t="s">
        <v>19</v>
      </c>
      <c r="V1441" s="23" t="s">
        <v>19</v>
      </c>
      <c r="W1441" s="23" t="s">
        <v>152</v>
      </c>
      <c r="X1441" s="24">
        <f t="shared" si="17"/>
        <v>0.88700000000000001</v>
      </c>
    </row>
    <row r="1442" spans="1:24" s="25" customFormat="1">
      <c r="A1442" s="22" t="s">
        <v>435</v>
      </c>
      <c r="B1442" s="22"/>
      <c r="C1442" s="22" t="s">
        <v>20</v>
      </c>
      <c r="D1442" s="22" t="s">
        <v>437</v>
      </c>
      <c r="E1442" s="22" t="s">
        <v>19</v>
      </c>
      <c r="F1442" s="22" t="s">
        <v>19</v>
      </c>
      <c r="G1442" s="22" t="s">
        <v>19</v>
      </c>
      <c r="H1442" s="22" t="s">
        <v>19</v>
      </c>
      <c r="I1442" s="22" t="s">
        <v>19</v>
      </c>
      <c r="J1442" s="22" t="s">
        <v>286</v>
      </c>
      <c r="K1442" s="23" t="str">
        <f>IF(X1442&lt;=0.9,HYPERLINK("http://www.lxhausys.co.kr/popup/rn/download/downloadPopup.jsp?from=plwindow&amp;uu=/upload/window/REPORT/LXH-TW22-010.pdf","1등급"),IF(X1442&lt;=1.2,HYPERLINK("http://www.lxhausys.co.kr/popup/rn/download/downloadPopup.jsp?from=plwindow&amp;uu=/upload/window/REPORT/LXH-TW22-010.pdf","2등급"),IF(X1442&lt;=1.8,HYPERLINK("http://www.lxhausys.co.kr/popup/rn/download/downloadPopup.jsp?from=plwindow&amp;uu=/upload/window/REPORT/LXH-TW22-010.pdf","3등급"),IF(X1442&lt;=2.3,HYPERLINK("http://www.lxhausys.co.kr/popup/rn/download/downloadPopup.jsp?from=plwindow&amp;uu=/upload/window/REPORT/LXH-TW22-010.pdf","4등급"),IF(X1442&lt;=2.8,HYPERLINK("http://www.lxhausys.co.kr/popup/rn/download/downloadPopup.jsp?from=plwindow&amp;uu=/upload/window/REPORT/LXH-TW22-010.pdf","5등급"),HYPERLINK("http://www.lxhausys.co.kr/popup/rn/download/downloadPopup.jsp?from=plwindow&amp;uu=/upload/window/REPORT/LXH-TW22-010.pdf","등급외"))))))</f>
        <v>3등급</v>
      </c>
      <c r="L1442" s="22">
        <v>1.4390000000000001</v>
      </c>
      <c r="M1442" s="22" t="s">
        <v>22</v>
      </c>
      <c r="N1442" s="23" t="s">
        <v>607</v>
      </c>
      <c r="O1442" s="23" t="s">
        <v>19</v>
      </c>
      <c r="P1442" s="23" t="s">
        <v>19</v>
      </c>
      <c r="Q1442" s="23" t="s">
        <v>19</v>
      </c>
      <c r="R1442" s="23" t="s">
        <v>19</v>
      </c>
      <c r="S1442" s="23" t="s">
        <v>19</v>
      </c>
      <c r="T1442" s="23" t="s">
        <v>19</v>
      </c>
      <c r="U1442" s="23" t="s">
        <v>19</v>
      </c>
      <c r="V1442" s="23" t="s">
        <v>19</v>
      </c>
      <c r="W1442" s="23" t="s">
        <v>152</v>
      </c>
      <c r="X1442" s="24">
        <f t="shared" si="17"/>
        <v>1.4390000000000001</v>
      </c>
    </row>
    <row r="1443" spans="1:24" s="25" customFormat="1">
      <c r="A1443" s="22" t="s">
        <v>438</v>
      </c>
      <c r="B1443" s="22"/>
      <c r="C1443" s="22" t="s">
        <v>20</v>
      </c>
      <c r="D1443" s="22" t="s">
        <v>439</v>
      </c>
      <c r="E1443" s="22" t="s">
        <v>19</v>
      </c>
      <c r="F1443" s="22" t="s">
        <v>19</v>
      </c>
      <c r="G1443" s="22" t="s">
        <v>19</v>
      </c>
      <c r="H1443" s="22" t="s">
        <v>19</v>
      </c>
      <c r="I1443" s="22" t="s">
        <v>19</v>
      </c>
      <c r="J1443" s="22" t="s">
        <v>286</v>
      </c>
      <c r="K1443" s="23" t="str">
        <f>IF(X1443&lt;=0.9,HYPERLINK("http://www.lxhausys.co.kr/popup/rn/download/downloadPopup.jsp?from=plwindow&amp;uu=/upload/window/REPORT/LXH-TW22-012.pdf","1등급"),IF(X1443&lt;=1.2,HYPERLINK("http://www.lxhausys.co.kr/popup/rn/download/downloadPopup.jsp?from=plwindow&amp;uu=/upload/window/REPORT/LXH-TW22-012.pdf","2등급"),IF(X1443&lt;=1.8,HYPERLINK("http://www.lxhausys.co.kr/popup/rn/download/downloadPopup.jsp?from=plwindow&amp;uu=/upload/window/REPORT/LXH-TW22-012.pdf","3등급"),IF(X1443&lt;=2.3,HYPERLINK("http://www.lxhausys.co.kr/popup/rn/download/downloadPopup.jsp?from=plwindow&amp;uu=/upload/window/REPORT/LXH-TW22-012.pdf","4등급"),IF(X1443&lt;=2.8,HYPERLINK("http://www.lxhausys.co.kr/popup/rn/download/downloadPopup.jsp?from=plwindow&amp;uu=/upload/window/REPORT/LXH-TW22-012.pdf","5등급"),HYPERLINK("http://www.lxhausys.co.kr/popup/rn/download/downloadPopup.jsp?from=plwindow&amp;uu=/upload/window/REPORT/LXH-TW22-012.pdf","등급외"))))))</f>
        <v>1등급</v>
      </c>
      <c r="L1443" s="22">
        <v>0.89900000000000002</v>
      </c>
      <c r="M1443" s="22" t="s">
        <v>22</v>
      </c>
      <c r="N1443" s="23" t="s">
        <v>607</v>
      </c>
      <c r="O1443" s="23" t="s">
        <v>19</v>
      </c>
      <c r="P1443" s="23" t="s">
        <v>19</v>
      </c>
      <c r="Q1443" s="23" t="s">
        <v>19</v>
      </c>
      <c r="R1443" s="23" t="s">
        <v>19</v>
      </c>
      <c r="S1443" s="23" t="s">
        <v>19</v>
      </c>
      <c r="T1443" s="23" t="s">
        <v>19</v>
      </c>
      <c r="U1443" s="23" t="s">
        <v>19</v>
      </c>
      <c r="V1443" s="23" t="s">
        <v>19</v>
      </c>
      <c r="W1443" s="23" t="s">
        <v>152</v>
      </c>
    </row>
    <row r="1444" spans="1:24">
      <c r="A1444" s="17" t="s">
        <v>438</v>
      </c>
      <c r="B1444" s="17"/>
      <c r="C1444" s="17" t="s">
        <v>31</v>
      </c>
      <c r="D1444" s="17" t="s">
        <v>439</v>
      </c>
      <c r="E1444" s="17" t="s">
        <v>19</v>
      </c>
      <c r="F1444" s="17" t="s">
        <v>19</v>
      </c>
      <c r="G1444" s="17" t="s">
        <v>19</v>
      </c>
      <c r="H1444" s="17" t="s">
        <v>19</v>
      </c>
      <c r="I1444" s="17" t="s">
        <v>19</v>
      </c>
      <c r="J1444" s="17" t="s">
        <v>286</v>
      </c>
      <c r="K1444" s="21" t="s">
        <v>607</v>
      </c>
      <c r="L1444" s="5" t="s">
        <v>19</v>
      </c>
      <c r="M1444" s="5" t="s">
        <v>19</v>
      </c>
      <c r="N1444" s="5" t="s">
        <v>19</v>
      </c>
      <c r="O1444" s="5" t="s">
        <v>19</v>
      </c>
      <c r="P1444" s="5" t="str">
        <f>HYPERLINK("http://www.lxhausys.co.kr/popup/rn/download/downloadPopup.jsp?from=plwindow&amp;uu=/upload/window/REPORT/LXH-WA22-078.pdf","50등급")</f>
        <v>50등급</v>
      </c>
      <c r="Q1444" s="5" t="s">
        <v>19</v>
      </c>
      <c r="R1444" s="5" t="s">
        <v>19</v>
      </c>
      <c r="S1444" s="5" t="s">
        <v>19</v>
      </c>
      <c r="T1444" s="5" t="s">
        <v>19</v>
      </c>
      <c r="U1444" s="5" t="s">
        <v>19</v>
      </c>
      <c r="V1444" s="5" t="s">
        <v>19</v>
      </c>
      <c r="W1444" s="5" t="s">
        <v>152</v>
      </c>
      <c r="X1444"/>
    </row>
    <row r="1445" spans="1:24">
      <c r="A1445" s="17" t="s">
        <v>608</v>
      </c>
      <c r="B1445" s="17" t="s">
        <v>608</v>
      </c>
      <c r="C1445" s="17" t="s">
        <v>609</v>
      </c>
      <c r="D1445" s="17" t="s">
        <v>610</v>
      </c>
      <c r="E1445" s="17" t="s">
        <v>19</v>
      </c>
      <c r="F1445" s="17" t="s">
        <v>19</v>
      </c>
      <c r="G1445" s="17" t="s">
        <v>19</v>
      </c>
      <c r="H1445" s="17" t="s">
        <v>19</v>
      </c>
      <c r="I1445" s="17" t="s">
        <v>19</v>
      </c>
      <c r="J1445" s="17" t="s">
        <v>611</v>
      </c>
      <c r="K1445" s="5" t="str">
        <f>IF(X1445&lt;=0.9,HYPERLINK("http://www.lxhausys.co.kr/popup/rn/download/downloadPopup.jsp?from=plwindow&amp;uu=/upload/window/REPORT/LGH-TW21-052(S3-125-224FFUG1R5_R).pdf","1등급"),IF(X1445&lt;=1.2,HYPERLINK("http://www.lxhausys.co.kr/popup/rn/download/downloadPopup.jsp?from=plwindow&amp;uu=/upload/window/REPORT/LGH-TW21-052(S3-125-224FFUG1R5_R).pdf","2등급"),IF(X1445&lt;=1.8,HYPERLINK("http://www.lxhausys.co.kr/popup/rn/download/downloadPopup.jsp?from=plwindow&amp;uu=/upload/window/REPORT/LGH-TW21-052(S3-125-224FFUG1R5_R).pdf","3등급"),IF(X1445&lt;=2.3,HYPERLINK("http://www.lxhausys.co.kr/popup/rn/download/downloadPopup.jsp?from=plwindow&amp;uu=/upload/window/REPORT/LGH-TW21-052(S3-125-224FFUG1R5_R).pdf","4등급"),IF(X1445&lt;=2.8,HYPERLINK("http://www.lxhausys.co.kr/popup/rn/download/downloadPopup.jsp?from=plwindow&amp;uu=/upload/window/REPORT/LGH-TW21-052(S3-125-224FFUG1R5_R).pdf","5등급"),HYPERLINK("http://www.lxhausys.co.kr/popup/rn/download/downloadPopup.jsp?from=plwindow&amp;uu=/upload/window/REPORT/LGH-TW21-052(S3-125-224FFUG1R5_R).pdf","등급외"))))))</f>
        <v>3등급</v>
      </c>
      <c r="L1445" s="17">
        <v>1.7669999999999999</v>
      </c>
      <c r="M1445" s="17" t="s">
        <v>613</v>
      </c>
      <c r="N1445" s="5" t="s">
        <v>607</v>
      </c>
      <c r="O1445" s="17" t="s">
        <v>19</v>
      </c>
      <c r="P1445" s="17" t="s">
        <v>19</v>
      </c>
      <c r="Q1445" s="17" t="s">
        <v>19</v>
      </c>
      <c r="R1445" s="17" t="s">
        <v>19</v>
      </c>
      <c r="S1445" s="17" t="s">
        <v>19</v>
      </c>
      <c r="T1445" s="17" t="s">
        <v>19</v>
      </c>
      <c r="U1445" s="17" t="s">
        <v>19</v>
      </c>
      <c r="V1445" s="17" t="s">
        <v>19</v>
      </c>
      <c r="W1445" s="17" t="s">
        <v>612</v>
      </c>
      <c r="X1445" s="19">
        <f>L1445</f>
        <v>1.7669999999999999</v>
      </c>
    </row>
    <row r="1446" spans="1:24">
      <c r="A1446" s="17" t="s">
        <v>608</v>
      </c>
      <c r="B1446" s="17" t="s">
        <v>608</v>
      </c>
      <c r="C1446" s="17" t="s">
        <v>609</v>
      </c>
      <c r="D1446" s="17" t="s">
        <v>614</v>
      </c>
      <c r="E1446" s="17" t="s">
        <v>19</v>
      </c>
      <c r="F1446" s="17" t="s">
        <v>19</v>
      </c>
      <c r="G1446" s="17" t="s">
        <v>19</v>
      </c>
      <c r="H1446" s="17" t="s">
        <v>19</v>
      </c>
      <c r="I1446" s="17" t="s">
        <v>19</v>
      </c>
      <c r="J1446" s="17" t="s">
        <v>611</v>
      </c>
      <c r="K1446" s="5" t="str">
        <f>IF(X1446&lt;=0.9,HYPERLINK("http://www.lxhausys.co.kr/popup/rn/download/downloadPopup.jsp?from=plwindow&amp;uu=/upload/window/REPORT/LGH-TW21-051(S3-125-224FFGS1R5_R).pdf","1등급"),IF(X1446&lt;=1.2,HYPERLINK("http://www.lxhausys.co.kr/popup/rn/download/downloadPopup.jsp?from=plwindow&amp;uu=/upload/window/REPORT/LGH-TW21-051(S3-125-224FFGS1R5_R).pdf","2등급"),IF(X1446&lt;=1.8,HYPERLINK("http://www.lxhausys.co.kr/popup/rn/download/downloadPopup.jsp?from=plwindow&amp;uu=/upload/window/REPORT/LGH-TW21-051(S3-125-224FFGS1R5_R).pdf","3등급"),IF(X1446&lt;=2.3,HYPERLINK("http://www.lxhausys.co.kr/popup/rn/download/downloadPopup.jsp?from=plwindow&amp;uu=/upload/window/REPORT/LGH-TW21-051(S3-125-224FFGS1R5_R).pdf","4등급"),IF(X1446&lt;=2.8,HYPERLINK("http://www.lxhausys.co.kr/popup/rn/download/downloadPopup.jsp?from=plwindow&amp;uu=/upload/window/REPORT/LGH-TW21-051(S3-125-224FFGS1R5_R).pdf","5등급"),HYPERLINK("http://www.lxhausys.co.kr/popup/rn/download/downloadPopup.jsp?from=plwindow&amp;uu=/upload/window/REPORT/LGH-TW21-051(S3-125-224FFGS1R5_R).pdf","등급외"))))))</f>
        <v>3등급</v>
      </c>
      <c r="L1446" s="17">
        <v>1.786</v>
      </c>
      <c r="M1446" s="17" t="s">
        <v>613</v>
      </c>
      <c r="N1446" s="5" t="s">
        <v>607</v>
      </c>
      <c r="O1446" s="17" t="s">
        <v>19</v>
      </c>
      <c r="P1446" s="17" t="s">
        <v>19</v>
      </c>
      <c r="Q1446" s="17" t="s">
        <v>19</v>
      </c>
      <c r="R1446" s="17" t="s">
        <v>19</v>
      </c>
      <c r="S1446" s="17" t="s">
        <v>19</v>
      </c>
      <c r="T1446" s="17" t="s">
        <v>19</v>
      </c>
      <c r="U1446" s="17" t="s">
        <v>19</v>
      </c>
      <c r="V1446" s="17" t="s">
        <v>19</v>
      </c>
      <c r="W1446" s="17" t="s">
        <v>612</v>
      </c>
      <c r="X1446" s="19">
        <f>L1446</f>
        <v>1.786</v>
      </c>
    </row>
    <row r="1447" spans="1:24">
      <c r="A1447" s="17" t="s">
        <v>608</v>
      </c>
      <c r="B1447" s="17" t="s">
        <v>608</v>
      </c>
      <c r="C1447" s="17" t="s">
        <v>609</v>
      </c>
      <c r="D1447" s="17" t="s">
        <v>618</v>
      </c>
      <c r="E1447" s="17" t="s">
        <v>19</v>
      </c>
      <c r="F1447" s="17" t="s">
        <v>19</v>
      </c>
      <c r="G1447" s="17" t="s">
        <v>19</v>
      </c>
      <c r="H1447" s="17" t="s">
        <v>19</v>
      </c>
      <c r="I1447" s="17" t="s">
        <v>19</v>
      </c>
      <c r="J1447" s="17" t="s">
        <v>611</v>
      </c>
      <c r="K1447" s="5" t="str">
        <f>IF(X1447&lt;=0.9,HYPERLINK("http://www.lxhausys.co.kr/popup/rn/download/downloadPopup.jsp?from=plwindow&amp;uu=/upload/window/REPORT/LGH-TW21-005 S3-125-224FFUG1A5.pdf","1등급"),IF(X1447&lt;=1.2,HYPERLINK("http://www.lxhausys.co.kr/popup/rn/download/downloadPopup.jsp?from=plwindow&amp;uu=/upload/window/REPORT/LGH-TW21-005 S3-125-224FFUG1A5.pdf","2등급"),IF(X1447&lt;=1.8,HYPERLINK("http://www.lxhausys.co.kr/popup/rn/download/downloadPopup.jsp?from=plwindow&amp;uu=/upload/window/REPORT/LGH-TW21-005 S3-125-224FFUG1A5.pdf","3등급"),IF(X1447&lt;=2.3,HYPERLINK("http://www.lxhausys.co.kr/popup/rn/download/downloadPopup.jsp?from=plwindow&amp;uu=/upload/window/REPORT/LGH-TW21-005 S3-125-224FFUG1A5.pdf","4등급"),IF(X1447&lt;=2.8,HYPERLINK("http://www.lxhausys.co.kr/popup/rn/download/downloadPopup.jsp?from=plwindow&amp;uu=/upload/window/REPORT/LGH-TW21-005 S3-125-224FFUG1A5.pdf","5등급"),HYPERLINK("http://www.lxhausys.co.kr/popup/rn/download/downloadPopup.jsp?from=plwindow&amp;uu=/upload/window/REPORT/LGH-TW21-005 S3-125-224FFUG1A5.pdf","등급외"))))))</f>
        <v>4등급</v>
      </c>
      <c r="L1447" s="17">
        <v>1.984</v>
      </c>
      <c r="M1447" s="17" t="s">
        <v>613</v>
      </c>
      <c r="N1447" s="5" t="s">
        <v>607</v>
      </c>
      <c r="O1447" s="17" t="s">
        <v>19</v>
      </c>
      <c r="P1447" s="17" t="s">
        <v>19</v>
      </c>
      <c r="Q1447" s="17" t="s">
        <v>19</v>
      </c>
      <c r="R1447" s="17" t="s">
        <v>19</v>
      </c>
      <c r="S1447" s="17" t="s">
        <v>19</v>
      </c>
      <c r="T1447" s="17" t="s">
        <v>19</v>
      </c>
      <c r="U1447" s="17" t="s">
        <v>19</v>
      </c>
      <c r="V1447" s="17" t="s">
        <v>19</v>
      </c>
      <c r="W1447" s="17" t="s">
        <v>615</v>
      </c>
      <c r="X1447" s="19">
        <f>L1447</f>
        <v>1.984</v>
      </c>
    </row>
    <row r="1448" spans="1:24">
      <c r="A1448" s="17" t="s">
        <v>616</v>
      </c>
      <c r="B1448" s="17" t="s">
        <v>616</v>
      </c>
      <c r="C1448" s="17" t="s">
        <v>609</v>
      </c>
      <c r="D1448" s="20" t="s">
        <v>618</v>
      </c>
      <c r="E1448" t="s">
        <v>607</v>
      </c>
      <c r="F1448" t="s">
        <v>607</v>
      </c>
      <c r="G1448" t="s">
        <v>607</v>
      </c>
      <c r="H1448" t="s">
        <v>68</v>
      </c>
      <c r="I1448" s="17" t="s">
        <v>607</v>
      </c>
      <c r="J1448" s="17" t="s">
        <v>611</v>
      </c>
      <c r="K1448" s="5" t="str">
        <f>IF(X1448&lt;=0.9,HYPERLINK("http://www.lxhausys.co.kr/popup/rn/download/downloadPopup.jsp?from=plwindow&amp;uu=/upload/window/REPORT/LGH-TW21-006 S3-235-444UGGG2A5.pdf","1등급"),IF(X1448&lt;=1.2,HYPERLINK("http://www.lxhausys.co.kr/popup/rn/download/downloadPopup.jsp?from=plwindow&amp;uu=/upload/window/REPORT/LGH-TW21-006 S3-235-444UGGG2A5.pdf","2등급"),IF(X1448&lt;=1.8,HYPERLINK("http://www.lxhausys.co.kr/popup/rn/download/downloadPopup.jsp?from=plwindow&amp;uu=/upload/window/REPORT/LGH-TW21-006 S3-235-444UGGG2A5.pdf","3등급"),IF(X1448&lt;=2.3,HYPERLINK("http://www.lxhausys.co.kr/popup/rn/download/downloadPopup.jsp?from=plwindow&amp;uu=/upload/window/REPORT/LGH-TW21-006 S3-235-444UGGG2A5.pdf","4등급"),IF(X1448&lt;=2.8,HYPERLINK("http://www.lxhausys.co.kr/popup/rn/download/downloadPopup.jsp?from=plwindow&amp;uu=/upload/window/REPORT/LGH-TW21-006 S3-235-444UGGG2A5.pdf","5등급"),HYPERLINK("http://www.lxhausys.co.kr/popup/rn/download/downloadPopup.jsp?from=plwindow&amp;uu=/upload/window/REPORT/LGH-TW21-006 S3-235-444UGGG2A5.pdf","등급외"))))))</f>
        <v>2등급</v>
      </c>
      <c r="L1448" s="17">
        <v>0.98299999999999998</v>
      </c>
      <c r="M1448" s="17" t="s">
        <v>619</v>
      </c>
      <c r="N1448" t="s">
        <v>607</v>
      </c>
      <c r="O1448" t="s">
        <v>607</v>
      </c>
      <c r="P1448" t="s">
        <v>607</v>
      </c>
      <c r="Q1448" t="s">
        <v>607</v>
      </c>
      <c r="R1448" t="s">
        <v>607</v>
      </c>
      <c r="S1448" t="s">
        <v>607</v>
      </c>
      <c r="T1448" t="s">
        <v>607</v>
      </c>
      <c r="U1448" t="s">
        <v>607</v>
      </c>
      <c r="V1448" t="s">
        <v>607</v>
      </c>
      <c r="W1448" s="17" t="s">
        <v>615</v>
      </c>
      <c r="X1448" s="19">
        <f t="shared" ref="X1448:X1504" si="18">L1448</f>
        <v>0.98299999999999998</v>
      </c>
    </row>
    <row r="1449" spans="1:24">
      <c r="A1449" s="17" t="s">
        <v>616</v>
      </c>
      <c r="B1449" s="17" t="s">
        <v>616</v>
      </c>
      <c r="C1449" s="17" t="s">
        <v>609</v>
      </c>
      <c r="D1449" s="20" t="s">
        <v>620</v>
      </c>
      <c r="E1449" t="s">
        <v>607</v>
      </c>
      <c r="F1449" t="s">
        <v>607</v>
      </c>
      <c r="G1449" t="s">
        <v>607</v>
      </c>
      <c r="H1449" s="20" t="s">
        <v>618</v>
      </c>
      <c r="I1449" s="17" t="s">
        <v>607</v>
      </c>
      <c r="J1449" s="17" t="s">
        <v>611</v>
      </c>
      <c r="K1449" s="5" t="str">
        <f>IF(X1449&lt;=0.9,HYPERLINK("http://www.lxhausys.co.kr/popup/rn/download/downloadPopup.jsp?from=plwindow&amp;uu=/upload/window/REPORT/LGH-TW21-029 S3-235-444GGUG2A5.pdf","1등급"),IF(X1449&lt;=1.2,HYPERLINK("http://www.lxhausys.co.kr/popup/rn/download/downloadPopup.jsp?from=plwindow&amp;uu=/upload/window/REPORT/LGH-TW21-029 S3-235-444GGUG2A5.pdf","2등급"),IF(X1449&lt;=1.8,HYPERLINK("http://www.lxhausys.co.kr/popup/rn/download/downloadPopup.jsp?from=plwindow&amp;uu=/upload/window/REPORT/LGH-TW21-029 S3-235-444GGUG2A5.pdf","3등급"),IF(X1449&lt;=2.3,HYPERLINK("http://www.lxhausys.co.kr/popup/rn/download/downloadPopup.jsp?from=plwindow&amp;uu=/upload/window/REPORT/LGH-TW21-029 S3-235-444GGUG2A5.pdf","4등급"),IF(X1449&lt;=2.8,HYPERLINK("http://www.lxhausys.co.kr/popup/rn/download/downloadPopup.jsp?from=plwindow&amp;uu=/upload/window/REPORT/LGH-TW21-029 S3-235-444GGUG2A5.pdf","5등급"),HYPERLINK("http://www.lxhausys.co.kr/popup/rn/download/downloadPopup.jsp?from=plwindow&amp;uu=/upload/window/REPORT/LGH-TW21-029 S3-235-444GGUG2A5.pdf","등급외"))))))</f>
        <v>2등급</v>
      </c>
      <c r="L1449" s="17">
        <v>0.98699999999999999</v>
      </c>
      <c r="M1449" s="17" t="s">
        <v>619</v>
      </c>
      <c r="N1449" t="s">
        <v>607</v>
      </c>
      <c r="O1449" t="s">
        <v>607</v>
      </c>
      <c r="P1449" t="s">
        <v>607</v>
      </c>
      <c r="Q1449" t="s">
        <v>607</v>
      </c>
      <c r="R1449" t="s">
        <v>607</v>
      </c>
      <c r="S1449" t="s">
        <v>607</v>
      </c>
      <c r="T1449" t="s">
        <v>607</v>
      </c>
      <c r="U1449" t="s">
        <v>607</v>
      </c>
      <c r="V1449" t="s">
        <v>607</v>
      </c>
      <c r="W1449" s="17" t="s">
        <v>615</v>
      </c>
      <c r="X1449" s="19">
        <f t="shared" si="18"/>
        <v>0.98699999999999999</v>
      </c>
    </row>
    <row r="1450" spans="1:24">
      <c r="A1450" s="17" t="s">
        <v>621</v>
      </c>
      <c r="B1450" s="17" t="s">
        <v>621</v>
      </c>
      <c r="C1450" s="17" t="s">
        <v>609</v>
      </c>
      <c r="D1450" t="s">
        <v>158</v>
      </c>
      <c r="E1450" t="s">
        <v>607</v>
      </c>
      <c r="F1450" t="s">
        <v>25</v>
      </c>
      <c r="G1450" t="s">
        <v>182</v>
      </c>
      <c r="H1450" t="s">
        <v>25</v>
      </c>
      <c r="I1450" t="s">
        <v>607</v>
      </c>
      <c r="J1450" s="17" t="s">
        <v>622</v>
      </c>
      <c r="K1450" s="5" t="str">
        <f>IF(X1450&lt;=0.9,HYPERLINK("http://www.lxhausys.co.kr/popup/rn/download/downloadPopup.jsp?from=plwindow&amp;uu=/upload/window/REPORT/LGH-TW21-009 S3-250GHR-422MGGG2A5.pdf","1등급"),IF(X1450&lt;=1.2,HYPERLINK("http://www.lxhausys.co.kr/popup/rn/download/downloadPopup.jsp?from=plwindow&amp;uu=/upload/window/REPORT/LGH-TW21-009 S3-250GHR-422MGGG2A5.pdf","2등급"),IF(X1450&lt;=1.8,HYPERLINK("http://www.lxhausys.co.kr/popup/rn/download/downloadPopup.jsp?from=plwindow&amp;uu=/upload/window/REPORT/LGH-TW21-009 S3-250GHR-422MGGG2A5.pdf","3등급"),IF(X1450&lt;=2.3,HYPERLINK("http://www.lxhausys.co.kr/popup/rn/download/downloadPopup.jsp?from=plwindow&amp;uu=/upload/window/REPORT/LGH-TW21-009 S3-250GHR-422MGGG2A5.pdf","4등급"),IF(X1450&lt;=2.8,HYPERLINK("http://www.lxhausys.co.kr/popup/rn/download/downloadPopup.jsp?from=plwindow&amp;uu=/upload/window/REPORT/LGH-TW21-009 S3-250GHR-422MGGG2A5.pdf","5등급"),HYPERLINK("http://www.lxhausys.co.kr/popup/rn/download/downloadPopup.jsp?from=plwindow&amp;uu=/upload/window/REPORT/LGH-TW21-009 S3-250GHR-422MGGG2A5.pdf","등급외"))))))</f>
        <v>3등급</v>
      </c>
      <c r="L1450" s="5">
        <v>1.2110000000000001</v>
      </c>
      <c r="M1450" s="5" t="s">
        <v>619</v>
      </c>
      <c r="N1450" t="s">
        <v>607</v>
      </c>
      <c r="O1450" t="s">
        <v>607</v>
      </c>
      <c r="P1450" t="s">
        <v>607</v>
      </c>
      <c r="Q1450" t="s">
        <v>607</v>
      </c>
      <c r="R1450" t="s">
        <v>607</v>
      </c>
      <c r="S1450" t="s">
        <v>607</v>
      </c>
      <c r="T1450" t="s">
        <v>607</v>
      </c>
      <c r="U1450" t="s">
        <v>607</v>
      </c>
      <c r="V1450" t="s">
        <v>607</v>
      </c>
      <c r="W1450" s="17" t="s">
        <v>615</v>
      </c>
      <c r="X1450" s="19">
        <f t="shared" si="18"/>
        <v>1.2110000000000001</v>
      </c>
    </row>
    <row r="1451" spans="1:24">
      <c r="A1451" s="17" t="s">
        <v>621</v>
      </c>
      <c r="B1451" s="17" t="s">
        <v>621</v>
      </c>
      <c r="C1451" s="17" t="s">
        <v>609</v>
      </c>
      <c r="D1451" t="s">
        <v>272</v>
      </c>
      <c r="E1451" t="s">
        <v>607</v>
      </c>
      <c r="F1451" t="s">
        <v>241</v>
      </c>
      <c r="G1451" t="s">
        <v>182</v>
      </c>
      <c r="H1451" t="s">
        <v>241</v>
      </c>
      <c r="I1451" t="s">
        <v>607</v>
      </c>
      <c r="J1451" s="17" t="s">
        <v>622</v>
      </c>
      <c r="K1451" s="5" t="str">
        <f>IF(X1451&lt;=0.9,HYPERLINK("http://www.lxhausys.co.kr/popup/rn/download/downloadPopup.jsp?from=plwindow&amp;uu=/upload/window/REPORT/LGH-TW21-010 S3-250GHR-422MSGS2A5.pdf","1등급"),IF(X1451&lt;=1.2,HYPERLINK("http://www.lxhausys.co.kr/popup/rn/download/downloadPopup.jsp?from=plwindow&amp;uu=/upload/window/REPORT/LGH-TW21-010 S3-250GHR-422MSGS2A5.pdf","2등급"),IF(X1451&lt;=1.8,HYPERLINK("http://www.lxhausys.co.kr/popup/rn/download/downloadPopup.jsp?from=plwindow&amp;uu=/upload/window/REPORT/LGH-TW21-010 S3-250GHR-422MSGS2A5.pdf","3등급"),IF(X1451&lt;=2.3,HYPERLINK("http://www.lxhausys.co.kr/popup/rn/download/downloadPopup.jsp?from=plwindow&amp;uu=/upload/window/REPORT/LGH-TW21-010 S3-250GHR-422MSGS2A5.pdf","4등급"),IF(X1451&lt;=2.8,HYPERLINK("http://www.lxhausys.co.kr/popup/rn/download/downloadPopup.jsp?from=plwindow&amp;uu=/upload/window/REPORT/LGH-TW21-010 S3-250GHR-422MSGS2A5.pdf","5등급"),HYPERLINK("http://www.lxhausys.co.kr/popup/rn/download/downloadPopup.jsp?from=plwindow&amp;uu=/upload/window/REPORT/LGH-TW21-010 S3-250GHR-422MSGS2A5.pdf","등급외"))))))</f>
        <v>1등급</v>
      </c>
      <c r="L1451" s="5">
        <v>0.872</v>
      </c>
      <c r="M1451" s="5" t="s">
        <v>619</v>
      </c>
      <c r="N1451" t="s">
        <v>607</v>
      </c>
      <c r="O1451" t="s">
        <v>607</v>
      </c>
      <c r="P1451" t="s">
        <v>607</v>
      </c>
      <c r="Q1451" t="s">
        <v>607</v>
      </c>
      <c r="R1451" t="s">
        <v>607</v>
      </c>
      <c r="S1451" t="s">
        <v>607</v>
      </c>
      <c r="T1451" t="s">
        <v>607</v>
      </c>
      <c r="U1451" t="s">
        <v>607</v>
      </c>
      <c r="V1451" t="s">
        <v>607</v>
      </c>
      <c r="W1451" s="17" t="s">
        <v>615</v>
      </c>
      <c r="X1451" s="19">
        <f t="shared" si="18"/>
        <v>0.872</v>
      </c>
    </row>
    <row r="1452" spans="1:24">
      <c r="A1452" s="17" t="s">
        <v>623</v>
      </c>
      <c r="B1452" s="17" t="s">
        <v>623</v>
      </c>
      <c r="C1452" s="17" t="s">
        <v>609</v>
      </c>
      <c r="D1452" s="20" t="s">
        <v>618</v>
      </c>
      <c r="E1452" t="s">
        <v>607</v>
      </c>
      <c r="F1452" t="s">
        <v>607</v>
      </c>
      <c r="G1452" t="s">
        <v>607</v>
      </c>
      <c r="H1452" t="s">
        <v>607</v>
      </c>
      <c r="I1452" t="s">
        <v>607</v>
      </c>
      <c r="J1452" s="17" t="s">
        <v>611</v>
      </c>
      <c r="K1452" s="5" t="str">
        <f>IF(X1452&lt;=0.9,HYPERLINK("http://www.lxhausys.co.kr/popup/rn/download/downloadPopup.jsp?from=plwindow&amp;uu=/upload/window/REPORT/LGH-TW21-007 S5-140-224FFUG1A5.pdf","1등급"),IF(X1452&lt;=1.2,HYPERLINK("http://www.lxhausys.co.kr/popup/rn/download/downloadPopup.jsp?from=plwindow&amp;uu=/upload/window/REPORT/LGH-TW21-007 S5-140-224FFUG1A5.pdf","2등급"),IF(X1452&lt;=1.8,HYPERLINK("http://www.lxhausys.co.kr/popup/rn/download/downloadPopup.jsp?from=plwindow&amp;uu=/upload/window/REPORT/LGH-TW21-007 S5-140-224FFUG1A5.pdf","3등급"),IF(X1452&lt;=2.3,HYPERLINK("http://www.lxhausys.co.kr/popup/rn/download/downloadPopup.jsp?from=plwindow&amp;uu=/upload/window/REPORT/LGH-TW21-007 S5-140-224FFUG1A5.pdf","4등급"),IF(X1452&lt;=2.8,HYPERLINK("http://www.lxhausys.co.kr/popup/rn/download/downloadPopup.jsp?from=plwindow&amp;uu=/upload/window/REPORT/LGH-TW21-007 S5-140-224FFUG1A5.pdf","5등급"),HYPERLINK("http://www.lxhausys.co.kr/popup/rn/download/downloadPopup.jsp?from=plwindow&amp;uu=/upload/window/REPORT/LGH-TW21-007 S5-140-224FFUG1A5.pdf","등급외"))))))</f>
        <v>4등급</v>
      </c>
      <c r="L1452" s="17">
        <v>2.016</v>
      </c>
      <c r="M1452" s="17" t="s">
        <v>613</v>
      </c>
      <c r="N1452" t="s">
        <v>607</v>
      </c>
      <c r="O1452" t="s">
        <v>607</v>
      </c>
      <c r="P1452" t="s">
        <v>607</v>
      </c>
      <c r="Q1452" t="s">
        <v>607</v>
      </c>
      <c r="R1452" t="s">
        <v>607</v>
      </c>
      <c r="S1452" t="s">
        <v>607</v>
      </c>
      <c r="T1452" t="s">
        <v>607</v>
      </c>
      <c r="U1452" t="s">
        <v>607</v>
      </c>
      <c r="V1452" t="s">
        <v>607</v>
      </c>
      <c r="W1452" s="17" t="s">
        <v>615</v>
      </c>
      <c r="X1452" s="19">
        <f t="shared" si="18"/>
        <v>2.016</v>
      </c>
    </row>
    <row r="1453" spans="1:24">
      <c r="A1453" s="17" t="s">
        <v>623</v>
      </c>
      <c r="B1453" s="17" t="s">
        <v>623</v>
      </c>
      <c r="C1453" s="17" t="s">
        <v>609</v>
      </c>
      <c r="D1453" s="17" t="s">
        <v>614</v>
      </c>
      <c r="E1453" t="s">
        <v>607</v>
      </c>
      <c r="F1453" t="s">
        <v>607</v>
      </c>
      <c r="G1453" t="s">
        <v>607</v>
      </c>
      <c r="H1453" t="s">
        <v>607</v>
      </c>
      <c r="I1453" t="s">
        <v>607</v>
      </c>
      <c r="J1453" s="17" t="s">
        <v>611</v>
      </c>
      <c r="K1453" s="5" t="str">
        <f>IF(X1453&lt;=0.9,HYPERLINK("http://www.lxhausys.co.kr/popup/rn/download/downloadPopup.jsp?from=plwindow&amp;uu=/upload/window/REPORT/LGH-TW21-053 S5-140-224FFGS1R5_R.pdf","1등급"),IF(X1453&lt;=1.2,HYPERLINK("http://www.lxhausys.co.kr/popup/rn/download/downloadPopup.jsp?from=plwindow&amp;uu=/upload/window/REPORT/LGH-TW21-053 S5-140-224FFGS1R5_R.pdf","2등급"),IF(X1453&lt;=1.8,HYPERLINK("http://www.lxhausys.co.kr/popup/rn/download/downloadPopup.jsp?from=plwindow&amp;uu=/upload/window/REPORT/LGH-TW21-053 S5-140-224FFGS1R5_R.pdf","3등급"),IF(X1453&lt;=2.3,HYPERLINK("http://www.lxhausys.co.kr/popup/rn/download/downloadPopup.jsp?from=plwindow&amp;uu=/upload/window/REPORT/LGH-TW21-053 S5-140-224FFGS1R5_R.pdf","4등급"),IF(X1453&lt;=2.8,HYPERLINK("http://www.lxhausys.co.kr/popup/rn/download/downloadPopup.jsp?from=plwindow&amp;uu=/upload/window/REPORT/LGH-TW21-053 S5-140-224FFGS1R5_R.pdf","5등급"),HYPERLINK("http://www.lxhausys.co.kr/popup/rn/download/downloadPopup.jsp?from=plwindow&amp;uu=/upload/window/REPORT/LGH-TW21-053 S5-140-224FFGS1R5_R.pdf","등급외"))))))</f>
        <v>3등급</v>
      </c>
      <c r="L1453" s="17">
        <v>1.7669999999999999</v>
      </c>
      <c r="M1453" s="17" t="s">
        <v>613</v>
      </c>
      <c r="N1453" t="s">
        <v>607</v>
      </c>
      <c r="O1453" t="s">
        <v>607</v>
      </c>
      <c r="P1453" t="s">
        <v>607</v>
      </c>
      <c r="Q1453" t="s">
        <v>607</v>
      </c>
      <c r="R1453" t="s">
        <v>607</v>
      </c>
      <c r="S1453" t="s">
        <v>607</v>
      </c>
      <c r="T1453" t="s">
        <v>607</v>
      </c>
      <c r="U1453" t="s">
        <v>607</v>
      </c>
      <c r="V1453" t="s">
        <v>607</v>
      </c>
      <c r="W1453" s="17" t="s">
        <v>615</v>
      </c>
      <c r="X1453" s="19">
        <f t="shared" si="18"/>
        <v>1.7669999999999999</v>
      </c>
    </row>
    <row r="1454" spans="1:24">
      <c r="A1454" s="17" t="s">
        <v>623</v>
      </c>
      <c r="B1454" s="17" t="s">
        <v>623</v>
      </c>
      <c r="C1454" s="17" t="s">
        <v>609</v>
      </c>
      <c r="D1454" s="17" t="s">
        <v>617</v>
      </c>
      <c r="E1454" t="s">
        <v>607</v>
      </c>
      <c r="F1454" t="s">
        <v>607</v>
      </c>
      <c r="G1454" t="s">
        <v>607</v>
      </c>
      <c r="H1454" t="s">
        <v>607</v>
      </c>
      <c r="I1454" t="s">
        <v>607</v>
      </c>
      <c r="J1454" s="17" t="s">
        <v>611</v>
      </c>
      <c r="K1454" s="5" t="str">
        <f>IF(X1454&lt;=0.9,HYPERLINK("http://www.lxhausys.co.kr/popup/rn/download/downloadPopup.jsp?from=plwindow&amp;uu=/upload/window/REPORT/LGH-TW21-054 S5-140-224FFUG1R5_R.pdf","1등급"),IF(X1454&lt;=1.2,HYPERLINK("http://www.lxhausys.co.kr/popup/rn/download/downloadPopup.jsp?from=plwindow&amp;uu=/upload/window/REPORT/LGH-TW21-054 S5-140-224FFUG1R5_R.pdf","2등급"),IF(X1454&lt;=1.8,HYPERLINK("http://www.lxhausys.co.kr/popup/rn/download/downloadPopup.jsp?from=plwindow&amp;uu=/upload/window/REPORT/LGH-TW21-054 S5-140-224FFUG1R5_R.pdf","3등급"),IF(X1454&lt;=2.3,HYPERLINK("http://www.lxhausys.co.kr/popup/rn/download/downloadPopup.jsp?from=plwindow&amp;uu=/upload/window/REPORT/LGH-TW21-054 S5-140-224FFUG1R5_R.pdf","4등급"),IF(X1454&lt;=2.8,HYPERLINK("http://www.lxhausys.co.kr/popup/rn/download/downloadPopup.jsp?from=plwindow&amp;uu=/upload/window/REPORT/LGH-TW21-054 S5-140-224FFUG1R5_R.pdf","5등급"),HYPERLINK("http://www.lxhausys.co.kr/popup/rn/download/downloadPopup.jsp?from=plwindow&amp;uu=/upload/window/REPORT/LGH-TW21-054 S5-140-224FFUG1R5_R.pdf","등급외"))))))</f>
        <v>3등급</v>
      </c>
      <c r="L1454" s="17">
        <v>1.7609999999999999</v>
      </c>
      <c r="M1454" s="17" t="s">
        <v>613</v>
      </c>
      <c r="N1454" t="s">
        <v>607</v>
      </c>
      <c r="O1454" t="s">
        <v>607</v>
      </c>
      <c r="P1454" t="s">
        <v>607</v>
      </c>
      <c r="Q1454" t="s">
        <v>607</v>
      </c>
      <c r="R1454" t="s">
        <v>607</v>
      </c>
      <c r="S1454" t="s">
        <v>607</v>
      </c>
      <c r="T1454" t="s">
        <v>607</v>
      </c>
      <c r="U1454" t="s">
        <v>607</v>
      </c>
      <c r="V1454" t="s">
        <v>607</v>
      </c>
      <c r="W1454" s="17" t="s">
        <v>615</v>
      </c>
      <c r="X1454" s="19">
        <f t="shared" si="18"/>
        <v>1.7609999999999999</v>
      </c>
    </row>
    <row r="1455" spans="1:24">
      <c r="A1455" s="17" t="s">
        <v>624</v>
      </c>
      <c r="B1455" s="17" t="s">
        <v>624</v>
      </c>
      <c r="C1455" s="17" t="s">
        <v>609</v>
      </c>
      <c r="D1455" s="20" t="s">
        <v>618</v>
      </c>
      <c r="E1455" s="17" t="s">
        <v>607</v>
      </c>
      <c r="F1455" s="17" t="s">
        <v>607</v>
      </c>
      <c r="G1455" s="17" t="s">
        <v>607</v>
      </c>
      <c r="H1455" t="s">
        <v>25</v>
      </c>
      <c r="I1455" t="s">
        <v>607</v>
      </c>
      <c r="J1455" s="17" t="s">
        <v>611</v>
      </c>
      <c r="K1455" s="5" t="str">
        <f>IF(X1455&lt;=0.9,HYPERLINK("http://www.lxhausys.co.kr/popup/rn/download/downloadPopup.jsp?from=plwindow&amp;uu=/upload/window/REPORT/LGH-TW21-008 S5-250-444UGGG2A5.pdf","1등급"),IF(X1455&lt;=1.2,HYPERLINK("http://www.lxhausys.co.kr/popup/rn/download/downloadPopup.jsp?from=plwindow&amp;uu=/upload/window/REPORT/LGH-TW21-008 S5-250-444UGGG2A5.pdf","2등급"),IF(X1455&lt;=1.8,HYPERLINK("http://www.lxhausys.co.kr/popup/rn/download/downloadPopup.jsp?from=plwindow&amp;uu=/upload/window/REPORT/LGH-TW21-008 S5-250-444UGGG2A5.pdf","3등급"),IF(X1455&lt;=2.3,HYPERLINK("http://www.lxhausys.co.kr/popup/rn/download/downloadPopup.jsp?from=plwindow&amp;uu=/upload/window/REPORT/LGH-TW21-008 S5-250-444UGGG2A5.pdf","4등급"),IF(X1455&lt;=2.8,HYPERLINK("http://www.lxhausys.co.kr/popup/rn/download/downloadPopup.jsp?from=plwindow&amp;uu=/upload/window/REPORT/LGH-TW21-008 S5-250-444UGGG2A5.pdf","5등급"),HYPERLINK("http://www.lxhausys.co.kr/popup/rn/download/downloadPopup.jsp?from=plwindow&amp;uu=/upload/window/REPORT/LGH-TW21-008 S5-250-444UGGG2A5.pdf","등급외"))))))</f>
        <v>2등급</v>
      </c>
      <c r="L1455" s="17">
        <v>0.97</v>
      </c>
      <c r="M1455" s="17" t="s">
        <v>619</v>
      </c>
      <c r="N1455" t="s">
        <v>607</v>
      </c>
      <c r="O1455" t="s">
        <v>607</v>
      </c>
      <c r="P1455" t="s">
        <v>607</v>
      </c>
      <c r="Q1455" t="s">
        <v>607</v>
      </c>
      <c r="R1455" t="s">
        <v>607</v>
      </c>
      <c r="S1455" t="s">
        <v>607</v>
      </c>
      <c r="T1455" t="s">
        <v>607</v>
      </c>
      <c r="U1455" t="s">
        <v>607</v>
      </c>
      <c r="V1455" t="s">
        <v>607</v>
      </c>
      <c r="W1455" s="17" t="s">
        <v>612</v>
      </c>
      <c r="X1455" s="19">
        <f t="shared" si="18"/>
        <v>0.97</v>
      </c>
    </row>
    <row r="1456" spans="1:24">
      <c r="A1456" s="17" t="s">
        <v>625</v>
      </c>
      <c r="B1456" s="17" t="s">
        <v>625</v>
      </c>
      <c r="C1456" s="17" t="s">
        <v>609</v>
      </c>
      <c r="D1456" s="17" t="s">
        <v>626</v>
      </c>
      <c r="E1456" s="17" t="s">
        <v>607</v>
      </c>
      <c r="F1456" s="17" t="s">
        <v>607</v>
      </c>
      <c r="G1456" s="17" t="s">
        <v>607</v>
      </c>
      <c r="H1456" t="s">
        <v>607</v>
      </c>
      <c r="I1456" t="s">
        <v>607</v>
      </c>
      <c r="J1456" s="17" t="s">
        <v>611</v>
      </c>
      <c r="K1456" s="5" t="str">
        <f>IF(X1456&lt;=0.9,HYPERLINK("http://www.lxhausys.co.kr/popup/rn/download/downloadPopup.jsp?from=plwindow&amp;uu=/upload/window/REPORT/LGH-TW21-019 S7-150N-226FFGS1R5.pdf","1등급"),IF(X1456&lt;=1.2,HYPERLINK("http://www.lxhausys.co.kr/popup/rn/download/downloadPopup.jsp?from=plwindow&amp;uu=/upload/window/REPORT/LGH-TW21-019 S7-150N-226FFGS1R5.pdf","2등급"),IF(X1456&lt;=1.8,HYPERLINK("http://www.lxhausys.co.kr/popup/rn/download/downloadPopup.jsp?from=plwindow&amp;uu=/upload/window/REPORT/LGH-TW21-019 S7-150N-226FFGS1R5.pdf","3등급"),IF(X1456&lt;=2.3,HYPERLINK("http://www.lxhausys.co.kr/popup/rn/download/downloadPopup.jsp?from=plwindow&amp;uu=/upload/window/REPORT/LGH-TW21-019 S7-150N-226FFGS1R5.pdf","4등급"),IF(X1456&lt;=2.8,HYPERLINK("http://www.lxhausys.co.kr/popup/rn/download/downloadPopup.jsp?from=plwindow&amp;uu=/upload/window/REPORT/LGH-TW21-019 S7-150N-226FFGS1R5.pdf","5등급"),HYPERLINK("http://www.lxhausys.co.kr/popup/rn/download/downloadPopup.jsp?from=plwindow&amp;uu=/upload/window/REPORT/LGH-TW21-019 S7-150N-226FFGS1R5.pdf","등급외"))))))</f>
        <v>3등급</v>
      </c>
      <c r="L1456" s="17">
        <v>1.5629999999999999</v>
      </c>
      <c r="M1456" s="17" t="s">
        <v>613</v>
      </c>
      <c r="N1456" t="s">
        <v>607</v>
      </c>
      <c r="O1456" t="s">
        <v>607</v>
      </c>
      <c r="P1456" t="s">
        <v>607</v>
      </c>
      <c r="Q1456" t="s">
        <v>607</v>
      </c>
      <c r="R1456" t="s">
        <v>607</v>
      </c>
      <c r="S1456" t="s">
        <v>607</v>
      </c>
      <c r="T1456" t="s">
        <v>607</v>
      </c>
      <c r="U1456" t="s">
        <v>607</v>
      </c>
      <c r="V1456" t="s">
        <v>607</v>
      </c>
      <c r="W1456" s="17" t="s">
        <v>615</v>
      </c>
      <c r="X1456" s="19">
        <f t="shared" si="18"/>
        <v>1.5629999999999999</v>
      </c>
    </row>
    <row r="1457" spans="1:24">
      <c r="A1457" s="17" t="s">
        <v>625</v>
      </c>
      <c r="B1457" s="17" t="s">
        <v>625</v>
      </c>
      <c r="C1457" s="17" t="s">
        <v>609</v>
      </c>
      <c r="D1457" s="17" t="s">
        <v>627</v>
      </c>
      <c r="E1457" s="17" t="s">
        <v>607</v>
      </c>
      <c r="F1457" s="17" t="s">
        <v>607</v>
      </c>
      <c r="G1457" s="17" t="s">
        <v>607</v>
      </c>
      <c r="H1457" t="s">
        <v>607</v>
      </c>
      <c r="I1457" t="s">
        <v>607</v>
      </c>
      <c r="J1457" s="17" t="s">
        <v>611</v>
      </c>
      <c r="K1457" s="5" t="str">
        <f>IF(X1457&lt;=0.9,HYPERLINK("http://www.lxhausys.co.kr/popup/rn/download/downloadPopup.jsp?from=plwindow&amp;uu=/upload/window/REPORT/LGH-TW21-013 S7-150N-226FFGG1A5.pdf","1등급"),IF(X1457&lt;=1.2,HYPERLINK("http://www.lxhausys.co.kr/popup/rn/download/downloadPopup.jsp?from=plwindow&amp;uu=/upload/window/REPORT/LGH-TW21-013 S7-150N-226FFGG1A5.pdf","2등급"),IF(X1457&lt;=1.8,HYPERLINK("http://www.lxhausys.co.kr/popup/rn/download/downloadPopup.jsp?from=plwindow&amp;uu=/upload/window/REPORT/LGH-TW21-013 S7-150N-226FFGG1A5.pdf","3등급"),IF(X1457&lt;=2.3,HYPERLINK("http://www.lxhausys.co.kr/popup/rn/download/downloadPopup.jsp?from=plwindow&amp;uu=/upload/window/REPORT/LGH-TW21-013 S7-150N-226FFGG1A5.pdf","4등급"),IF(X1457&lt;=2.8,HYPERLINK("http://www.lxhausys.co.kr/popup/rn/download/downloadPopup.jsp?from=plwindow&amp;uu=/upload/window/REPORT/LGH-TW21-013 S7-150N-226FFGG1A5.pdf","5등급"),HYPERLINK("http://www.lxhausys.co.kr/popup/rn/download/downloadPopup.jsp?from=plwindow&amp;uu=/upload/window/REPORT/LGH-TW21-013 S7-150N-226FFGG1A5.pdf","등급외"))))))</f>
        <v>5등급</v>
      </c>
      <c r="L1457" s="17">
        <v>2.6320000000000001</v>
      </c>
      <c r="M1457" s="17" t="s">
        <v>613</v>
      </c>
      <c r="N1457" t="s">
        <v>607</v>
      </c>
      <c r="O1457" t="s">
        <v>607</v>
      </c>
      <c r="P1457" t="s">
        <v>607</v>
      </c>
      <c r="Q1457" t="s">
        <v>607</v>
      </c>
      <c r="R1457" t="s">
        <v>607</v>
      </c>
      <c r="S1457" t="s">
        <v>607</v>
      </c>
      <c r="T1457" t="s">
        <v>607</v>
      </c>
      <c r="U1457" t="s">
        <v>607</v>
      </c>
      <c r="V1457" t="s">
        <v>607</v>
      </c>
      <c r="W1457" s="17" t="s">
        <v>615</v>
      </c>
      <c r="X1457" s="19">
        <f t="shared" si="18"/>
        <v>2.6320000000000001</v>
      </c>
    </row>
    <row r="1458" spans="1:24">
      <c r="A1458" s="17" t="s">
        <v>625</v>
      </c>
      <c r="B1458" s="17" t="s">
        <v>625</v>
      </c>
      <c r="C1458" s="17" t="s">
        <v>609</v>
      </c>
      <c r="D1458" s="20" t="s">
        <v>620</v>
      </c>
      <c r="E1458" s="17" t="s">
        <v>607</v>
      </c>
      <c r="F1458" s="17" t="s">
        <v>607</v>
      </c>
      <c r="G1458" s="17" t="s">
        <v>607</v>
      </c>
      <c r="H1458" t="s">
        <v>607</v>
      </c>
      <c r="I1458" t="s">
        <v>607</v>
      </c>
      <c r="J1458" s="17" t="s">
        <v>611</v>
      </c>
      <c r="K1458" s="5" t="str">
        <f>IF(X1458&lt;=0.9,HYPERLINK("http://www.lxhausys.co.kr/popup/rn/download/downloadPopup.jsp?from=plwindow&amp;uu=/upload/window/REPORT/LGH-TW21-012 S7-150N-224FFGS1A5.pdf","1등급"),IF(X1458&lt;=1.2,HYPERLINK("http://www.lxhausys.co.kr/popup/rn/download/downloadPopup.jsp?from=plwindow&amp;uu=/upload/window/REPORT/LGH-TW21-012 S7-150N-224FFGS1A5.pdf","2등급"),IF(X1458&lt;=1.8,HYPERLINK("http://www.lxhausys.co.kr/popup/rn/download/downloadPopup.jsp?from=plwindow&amp;uu=/upload/window/REPORT/LGH-TW21-012 S7-150N-224FFGS1A5.pdf","3등급"),IF(X1458&lt;=2.3,HYPERLINK("http://www.lxhausys.co.kr/popup/rn/download/downloadPopup.jsp?from=plwindow&amp;uu=/upload/window/REPORT/LGH-TW21-012 S7-150N-224FFGS1A5.pdf","4등급"),IF(X1458&lt;=2.8,HYPERLINK("http://www.lxhausys.co.kr/popup/rn/download/downloadPopup.jsp?from=plwindow&amp;uu=/upload/window/REPORT/LGH-TW21-012 S7-150N-224FFGS1A5.pdf","5등급"),HYPERLINK("http://www.lxhausys.co.kr/popup/rn/download/downloadPopup.jsp?from=plwindow&amp;uu=/upload/window/REPORT/LGH-TW21-012 S7-150N-224FFGS1A5.pdf","등급외"))))))</f>
        <v>4등급</v>
      </c>
      <c r="L1458" s="17">
        <v>1.8280000000000001</v>
      </c>
      <c r="M1458" s="17" t="s">
        <v>613</v>
      </c>
      <c r="N1458" t="s">
        <v>607</v>
      </c>
      <c r="O1458" t="s">
        <v>607</v>
      </c>
      <c r="P1458" t="s">
        <v>607</v>
      </c>
      <c r="Q1458" t="s">
        <v>607</v>
      </c>
      <c r="R1458" t="s">
        <v>607</v>
      </c>
      <c r="S1458" t="s">
        <v>607</v>
      </c>
      <c r="T1458" t="s">
        <v>607</v>
      </c>
      <c r="U1458" t="s">
        <v>607</v>
      </c>
      <c r="V1458" t="s">
        <v>607</v>
      </c>
      <c r="W1458" s="17" t="s">
        <v>615</v>
      </c>
      <c r="X1458" s="19">
        <f t="shared" si="18"/>
        <v>1.8280000000000001</v>
      </c>
    </row>
    <row r="1459" spans="1:24">
      <c r="A1459" s="17" t="s">
        <v>625</v>
      </c>
      <c r="B1459" s="17" t="s">
        <v>625</v>
      </c>
      <c r="C1459" s="17" t="s">
        <v>609</v>
      </c>
      <c r="D1459" s="20" t="s">
        <v>620</v>
      </c>
      <c r="E1459" s="17" t="s">
        <v>607</v>
      </c>
      <c r="F1459" s="17" t="s">
        <v>607</v>
      </c>
      <c r="G1459" s="17" t="s">
        <v>607</v>
      </c>
      <c r="H1459" t="s">
        <v>607</v>
      </c>
      <c r="I1459" t="s">
        <v>607</v>
      </c>
      <c r="J1459" s="17" t="s">
        <v>611</v>
      </c>
      <c r="K1459" s="5" t="str">
        <f>IF(X1459&lt;=0.9,HYPERLINK("http://www.lxhausys.co.kr/popup/rn/download/downloadPopup.jsp?from=plwindow&amp;uu=/upload/window/REPORT/LGH-TW21-011 S7-150N-224FFGG1A5.pdf","1등급"),IF(X1459&lt;=1.2,HYPERLINK("http://www.lxhausys.co.kr/popup/rn/download/downloadPopup.jsp?from=plwindow&amp;uu=/upload/window/REPORT/LGH-TW21-011 S7-150N-224FFGG1A5.pdf","2등급"),IF(X1459&lt;=1.8,HYPERLINK("http://www.lxhausys.co.kr/popup/rn/download/downloadPopup.jsp?from=plwindow&amp;uu=/upload/window/REPORT/LGH-TW21-011 S7-150N-224FFGG1A5.pdf","3등급"),IF(X1459&lt;=2.3,HYPERLINK("http://www.lxhausys.co.kr/popup/rn/download/downloadPopup.jsp?from=plwindow&amp;uu=/upload/window/REPORT/LGH-TW21-011 S7-150N-224FFGG1A5.pdf","4등급"),IF(X1459&lt;=2.8,HYPERLINK("http://www.lxhausys.co.kr/popup/rn/download/downloadPopup.jsp?from=plwindow&amp;uu=/upload/window/REPORT/LGH-TW21-011 S7-150N-224FFGG1A5.pdf","5등급"),HYPERLINK("http://www.lxhausys.co.kr/popup/rn/download/downloadPopup.jsp?from=plwindow&amp;uu=/upload/window/REPORT/LGH-TW21-011 S7-150N-224FFGG1A5.pdf","등급외"))))))</f>
        <v>5등급</v>
      </c>
      <c r="L1459" s="17">
        <v>2.6669999999999998</v>
      </c>
      <c r="M1459" s="17" t="s">
        <v>613</v>
      </c>
      <c r="N1459" t="s">
        <v>607</v>
      </c>
      <c r="O1459" t="s">
        <v>607</v>
      </c>
      <c r="P1459" t="s">
        <v>607</v>
      </c>
      <c r="Q1459" t="s">
        <v>607</v>
      </c>
      <c r="R1459" t="s">
        <v>607</v>
      </c>
      <c r="S1459" t="s">
        <v>607</v>
      </c>
      <c r="T1459" t="s">
        <v>607</v>
      </c>
      <c r="U1459" t="s">
        <v>607</v>
      </c>
      <c r="V1459" t="s">
        <v>607</v>
      </c>
      <c r="W1459" s="17" t="s">
        <v>615</v>
      </c>
      <c r="X1459" s="19">
        <f t="shared" si="18"/>
        <v>2.6669999999999998</v>
      </c>
    </row>
    <row r="1460" spans="1:24">
      <c r="A1460" s="17" t="s">
        <v>625</v>
      </c>
      <c r="B1460" s="17" t="s">
        <v>625</v>
      </c>
      <c r="C1460" s="17" t="s">
        <v>609</v>
      </c>
      <c r="D1460" s="20" t="s">
        <v>628</v>
      </c>
      <c r="E1460" s="17" t="s">
        <v>607</v>
      </c>
      <c r="F1460" s="17" t="s">
        <v>607</v>
      </c>
      <c r="G1460" s="17" t="s">
        <v>607</v>
      </c>
      <c r="H1460" t="s">
        <v>607</v>
      </c>
      <c r="I1460" t="s">
        <v>607</v>
      </c>
      <c r="J1460" s="17" t="s">
        <v>611</v>
      </c>
      <c r="K1460" s="5" t="str">
        <f>IF(X1460&lt;=0.9,HYPERLINK("http://www.lxhausys.co.kr/popup/rn/download/downloadPopup.jsp?from=plwindow&amp;uu=/upload/window/REPORT/LGH-TW21-035 S7-150N-228FFGG1A5.pdf","1등급"),IF(X1460&lt;=1.2,HYPERLINK("http://www.lxhausys.co.kr/popup/rn/download/downloadPopup.jsp?from=plwindow&amp;uu=/upload/window/REPORT/LGH-TW21-035 S7-150N-228FFGG1A5.pdf","2등급"),IF(X1460&lt;=1.8,HYPERLINK("http://www.lxhausys.co.kr/popup/rn/download/downloadPopup.jsp?from=plwindow&amp;uu=/upload/window/REPORT/LGH-TW21-035 S7-150N-228FFGG1A5.pdf","3등급"),IF(X1460&lt;=2.3,HYPERLINK("http://www.lxhausys.co.kr/popup/rn/download/downloadPopup.jsp?from=plwindow&amp;uu=/upload/window/REPORT/LGH-TW21-035 S7-150N-228FFGG1A5.pdf","4등급"),IF(X1460&lt;=2.8,HYPERLINK("http://www.lxhausys.co.kr/popup/rn/download/downloadPopup.jsp?from=plwindow&amp;uu=/upload/window/REPORT/LGH-TW21-035 S7-150N-228FFGG1A5.pdf","5등급"),HYPERLINK("http://www.lxhausys.co.kr/popup/rn/download/downloadPopup.jsp?from=plwindow&amp;uu=/upload/window/REPORT/LGH-TW21-035 S7-150N-228FFGG1A5.pdf","등급외"))))))</f>
        <v>5등급</v>
      </c>
      <c r="L1460" s="17">
        <v>2.6389999999999998</v>
      </c>
      <c r="M1460" s="17" t="s">
        <v>613</v>
      </c>
      <c r="N1460" t="s">
        <v>607</v>
      </c>
      <c r="O1460" t="s">
        <v>607</v>
      </c>
      <c r="P1460" t="s">
        <v>607</v>
      </c>
      <c r="Q1460" t="s">
        <v>607</v>
      </c>
      <c r="R1460" t="s">
        <v>607</v>
      </c>
      <c r="S1460" t="s">
        <v>607</v>
      </c>
      <c r="T1460" t="s">
        <v>607</v>
      </c>
      <c r="U1460" t="s">
        <v>607</v>
      </c>
      <c r="V1460" t="s">
        <v>607</v>
      </c>
      <c r="W1460" s="17" t="s">
        <v>615</v>
      </c>
      <c r="X1460" s="19">
        <f t="shared" si="18"/>
        <v>2.6389999999999998</v>
      </c>
    </row>
    <row r="1461" spans="1:24">
      <c r="A1461" s="17" t="s">
        <v>625</v>
      </c>
      <c r="B1461" s="17" t="s">
        <v>625</v>
      </c>
      <c r="C1461" s="17" t="s">
        <v>609</v>
      </c>
      <c r="D1461" s="20" t="s">
        <v>629</v>
      </c>
      <c r="E1461" s="17" t="s">
        <v>607</v>
      </c>
      <c r="F1461" s="17" t="s">
        <v>607</v>
      </c>
      <c r="G1461" s="17" t="s">
        <v>607</v>
      </c>
      <c r="H1461" t="s">
        <v>607</v>
      </c>
      <c r="I1461" t="s">
        <v>607</v>
      </c>
      <c r="J1461" s="17" t="s">
        <v>611</v>
      </c>
      <c r="K1461" s="5" t="str">
        <f>IF(X1461&lt;=0.9,HYPERLINK("http://www.lxhausys.co.kr/popup/rn/download/downloadPopup.jsp?from=plwindow&amp;uu=/upload/window/REPORT/LGH-TW21-018 S7-150N-226FFGS1A5.pdf","1등급"),IF(X1461&lt;=1.2,HYPERLINK("http://www.lxhausys.co.kr/popup/rn/download/downloadPopup.jsp?from=plwindow&amp;uu=/upload/window/REPORT/LGH-TW21-018 S7-150N-226FFGS1A5.pdf","2등급"),IF(X1461&lt;=1.8,HYPERLINK("http://www.lxhausys.co.kr/popup/rn/download/downloadPopup.jsp?from=plwindow&amp;uu=/upload/window/REPORT/LGH-TW21-018 S7-150N-226FFGS1A5.pdf","3등급"),IF(X1461&lt;=2.3,HYPERLINK("http://www.lxhausys.co.kr/popup/rn/download/downloadPopup.jsp?from=plwindow&amp;uu=/upload/window/REPORT/LGH-TW21-018 S7-150N-226FFGS1A5.pdf","4등급"),IF(X1461&lt;=2.8,HYPERLINK("http://www.lxhausys.co.kr/popup/rn/download/downloadPopup.jsp?from=plwindow&amp;uu=/upload/window/REPORT/LGH-TW21-018 S7-150N-226FFGS1A5.pdf","5등급"),HYPERLINK("http://www.lxhausys.co.kr/popup/rn/download/downloadPopup.jsp?from=plwindow&amp;uu=/upload/window/REPORT/LGH-TW21-018 S7-150N-226FFGS1A5.pdf","등급외"))))))</f>
        <v>3등급</v>
      </c>
      <c r="L1461" s="17">
        <v>1.742</v>
      </c>
      <c r="M1461" s="17" t="s">
        <v>613</v>
      </c>
      <c r="N1461" t="s">
        <v>607</v>
      </c>
      <c r="O1461" t="s">
        <v>607</v>
      </c>
      <c r="P1461" t="s">
        <v>607</v>
      </c>
      <c r="Q1461" t="s">
        <v>607</v>
      </c>
      <c r="R1461" t="s">
        <v>607</v>
      </c>
      <c r="S1461" t="s">
        <v>607</v>
      </c>
      <c r="T1461" t="s">
        <v>607</v>
      </c>
      <c r="U1461" t="s">
        <v>607</v>
      </c>
      <c r="V1461" t="s">
        <v>607</v>
      </c>
      <c r="W1461" s="17" t="s">
        <v>615</v>
      </c>
      <c r="X1461" s="19">
        <f t="shared" si="18"/>
        <v>1.742</v>
      </c>
    </row>
    <row r="1462" spans="1:24">
      <c r="A1462" s="17" t="s">
        <v>625</v>
      </c>
      <c r="B1462" s="17" t="s">
        <v>625</v>
      </c>
      <c r="C1462" s="17" t="s">
        <v>609</v>
      </c>
      <c r="D1462" s="20" t="s">
        <v>631</v>
      </c>
      <c r="E1462" s="17" t="s">
        <v>607</v>
      </c>
      <c r="F1462" s="17" t="s">
        <v>607</v>
      </c>
      <c r="G1462" s="17" t="s">
        <v>607</v>
      </c>
      <c r="H1462" t="s">
        <v>607</v>
      </c>
      <c r="I1462" t="s">
        <v>607</v>
      </c>
      <c r="J1462" s="17" t="s">
        <v>630</v>
      </c>
      <c r="K1462" s="5" t="str">
        <f>IF(X1462&lt;=0.9,HYPERLINK("http://www.lxhausys.co.kr/popup/rn/download/downloadPopup.jsp?from=plwindow&amp;uu=/upload/window/REPORT/LGH-TW21-036 S7-150N-228FFGS1A5.pdf","1등급"),IF(X1462&lt;=1.2,HYPERLINK("http://www.lxhausys.co.kr/popup/rn/download/downloadPopup.jsp?from=plwindow&amp;uu=/upload/window/REPORT/LGH-TW21-036 S7-150N-228FFGS1A5.pdf","2등급"),IF(X1462&lt;=1.8,HYPERLINK("http://www.lxhausys.co.kr/popup/rn/download/downloadPopup.jsp?from=plwindow&amp;uu=/upload/window/REPORT/LGH-TW21-036 S7-150N-228FFGS1A5.pdf","3등급"),IF(X1462&lt;=2.3,HYPERLINK("http://www.lxhausys.co.kr/popup/rn/download/downloadPopup.jsp?from=plwindow&amp;uu=/upload/window/REPORT/LGH-TW21-036 S7-150N-228FFGS1A5.pdf","4등급"),IF(X1462&lt;=2.8,HYPERLINK("http://www.lxhausys.co.kr/popup/rn/download/downloadPopup.jsp?from=plwindow&amp;uu=/upload/window/REPORT/LGH-TW21-036 S7-150N-228FFGS1A5.pdf","5등급"),HYPERLINK("http://www.lxhausys.co.kr/popup/rn/download/downloadPopup.jsp?from=plwindow&amp;uu=/upload/window/REPORT/LGH-TW21-036 S7-150N-228FFGS1A5.pdf","등급외"))))))</f>
        <v>4등급</v>
      </c>
      <c r="L1462" s="17">
        <v>1.8660000000000001</v>
      </c>
      <c r="M1462" s="17" t="s">
        <v>613</v>
      </c>
      <c r="N1462" t="s">
        <v>607</v>
      </c>
      <c r="O1462" t="s">
        <v>607</v>
      </c>
      <c r="P1462" t="s">
        <v>607</v>
      </c>
      <c r="Q1462" t="s">
        <v>607</v>
      </c>
      <c r="R1462" t="s">
        <v>607</v>
      </c>
      <c r="S1462" t="s">
        <v>607</v>
      </c>
      <c r="T1462" t="s">
        <v>607</v>
      </c>
      <c r="U1462" t="s">
        <v>607</v>
      </c>
      <c r="V1462" t="s">
        <v>607</v>
      </c>
      <c r="W1462" s="17" t="s">
        <v>615</v>
      </c>
      <c r="X1462" s="19">
        <f t="shared" si="18"/>
        <v>1.8660000000000001</v>
      </c>
    </row>
    <row r="1463" spans="1:24">
      <c r="A1463" s="17" t="s">
        <v>632</v>
      </c>
      <c r="B1463" s="17" t="s">
        <v>632</v>
      </c>
      <c r="C1463" s="17" t="s">
        <v>609</v>
      </c>
      <c r="D1463" s="20" t="s">
        <v>633</v>
      </c>
      <c r="E1463" s="17" t="s">
        <v>607</v>
      </c>
      <c r="F1463" s="17" t="s">
        <v>607</v>
      </c>
      <c r="G1463" s="17" t="s">
        <v>607</v>
      </c>
      <c r="H1463" t="s">
        <v>620</v>
      </c>
      <c r="I1463" t="s">
        <v>607</v>
      </c>
      <c r="J1463" s="17" t="s">
        <v>622</v>
      </c>
      <c r="K1463" s="5" t="str">
        <f>IF(X1463&lt;=0.9,HYPERLINK("http://www.lxhausys.co.kr/popup/rn/download/downloadPopup.jsp?from=plwindow&amp;uu=/upload/window/REPORT/LGH-TW21-017 S7-255-444GSGG2A5-2.pdf","1등급"),IF(X1463&lt;=1.2,HYPERLINK("http://www.lxhausys.co.kr/popup/rn/download/downloadPopup.jsp?from=plwindow&amp;uu=/upload/window/REPORT/LGH-TW21-017 S7-255-444GSGG2A5-2.pdf","2등급"),IF(X1463&lt;=1.8,HYPERLINK("http://www.lxhausys.co.kr/popup/rn/download/downloadPopup.jsp?from=plwindow&amp;uu=/upload/window/REPORT/LGH-TW21-017 S7-255-444GSGG2A5-2.pdf","3등급"),IF(X1463&lt;=2.3,HYPERLINK("http://www.lxhausys.co.kr/popup/rn/download/downloadPopup.jsp?from=plwindow&amp;uu=/upload/window/REPORT/LGH-TW21-017 S7-255-444GSGG2A5-2.pdf","4등급"),IF(X1463&lt;=2.8,HYPERLINK("http://www.lxhausys.co.kr/popup/rn/download/downloadPopup.jsp?from=plwindow&amp;uu=/upload/window/REPORT/LGH-TW21-017 S7-255-444GSGG2A5-2.pdf","5등급"),HYPERLINK("http://www.lxhausys.co.kr/popup/rn/download/downloadPopup.jsp?from=plwindow&amp;uu=/upload/window/REPORT/LGH-TW21-017 S7-255-444GSGG2A5-2.pdf","등급외"))))))</f>
        <v>2등급</v>
      </c>
      <c r="L1463" s="17">
        <v>0.99199999999999999</v>
      </c>
      <c r="M1463" s="17" t="s">
        <v>619</v>
      </c>
      <c r="N1463" t="s">
        <v>607</v>
      </c>
      <c r="O1463" t="s">
        <v>607</v>
      </c>
      <c r="P1463" t="s">
        <v>607</v>
      </c>
      <c r="Q1463" t="s">
        <v>607</v>
      </c>
      <c r="R1463" t="s">
        <v>607</v>
      </c>
      <c r="S1463" t="s">
        <v>607</v>
      </c>
      <c r="T1463" t="s">
        <v>607</v>
      </c>
      <c r="U1463" t="s">
        <v>607</v>
      </c>
      <c r="V1463" t="s">
        <v>607</v>
      </c>
      <c r="W1463" s="17" t="s">
        <v>615</v>
      </c>
      <c r="X1463" s="19">
        <f t="shared" si="18"/>
        <v>0.99199999999999999</v>
      </c>
    </row>
    <row r="1464" spans="1:24">
      <c r="A1464" s="17" t="s">
        <v>634</v>
      </c>
      <c r="B1464" s="17" t="s">
        <v>634</v>
      </c>
      <c r="C1464" s="17" t="s">
        <v>609</v>
      </c>
      <c r="D1464" s="20" t="s">
        <v>635</v>
      </c>
      <c r="E1464" s="17" t="s">
        <v>607</v>
      </c>
      <c r="F1464" s="17" t="s">
        <v>607</v>
      </c>
      <c r="G1464" s="17" t="s">
        <v>607</v>
      </c>
      <c r="H1464" s="17" t="s">
        <v>635</v>
      </c>
      <c r="I1464" t="s">
        <v>607</v>
      </c>
      <c r="J1464" s="17" t="s">
        <v>622</v>
      </c>
      <c r="K1464" s="5" t="str">
        <f>IF(X1464&lt;=0.9,HYPERLINK("http://www.lxhausys.co.kr/popup/rn/download/downloadPopup.jsp?from=plwindow&amp;uu=/upload/window/REPORT/LXH-TW22-032 P-250-422GGGG2A5_1.pdf","1등급"),IF(X1464&lt;=1.2,HYPERLINK("http://www.lxhausys.co.kr/popup/rn/download/downloadPopup.jsp?from=plwindow&amp;uu=/upload/window/REPORT/LXH-TW22-032 P-250-422GGGG2A5_1.pdf","2등급"),IF(X1464&lt;=1.8,HYPERLINK("http://www.lxhausys.co.kr/popup/rn/download/downloadPopup.jsp?from=plwindow&amp;uu=/upload/window/REPORT/LXH-TW22-032 P-250-422GGGG2A5_1.pdf","3등급"),IF(X1464&lt;=2.3,HYPERLINK("http://www.lxhausys.co.kr/popup/rn/download/downloadPopup.jsp?from=plwindow&amp;uu=/upload/window/REPORT/LXH-TW22-032 P-250-422GGGG2A5_1.pdf","4등급"),IF(X1464&lt;=2.8,HYPERLINK("http://www.lxhausys.co.kr/popup/rn/download/downloadPopup.jsp?from=plwindow&amp;uu=/upload/window/REPORT/LXH-TW22-032 P-250-422GGGG2A5_1.pdf","5등급"),HYPERLINK("http://www.lxhausys.co.kr/popup/rn/download/downloadPopup.jsp?from=plwindow&amp;uu=/upload/window/REPORT/LXH-TW22-032 P-250-422GGGG2A5_1.pdf","등급외"))))))</f>
        <v>2등급</v>
      </c>
      <c r="L1464" s="17">
        <v>1.1930000000000001</v>
      </c>
      <c r="M1464" s="17" t="s">
        <v>619</v>
      </c>
      <c r="N1464" t="s">
        <v>607</v>
      </c>
      <c r="O1464" t="s">
        <v>607</v>
      </c>
      <c r="P1464" t="s">
        <v>607</v>
      </c>
      <c r="Q1464" t="s">
        <v>607</v>
      </c>
      <c r="R1464" t="s">
        <v>607</v>
      </c>
      <c r="S1464" t="s">
        <v>607</v>
      </c>
      <c r="T1464" t="s">
        <v>607</v>
      </c>
      <c r="U1464" t="s">
        <v>607</v>
      </c>
      <c r="V1464" t="s">
        <v>607</v>
      </c>
      <c r="W1464" s="17" t="s">
        <v>615</v>
      </c>
      <c r="X1464" s="19">
        <f t="shared" si="18"/>
        <v>1.1930000000000001</v>
      </c>
    </row>
    <row r="1465" spans="1:24">
      <c r="A1465" s="17" t="s">
        <v>636</v>
      </c>
      <c r="B1465" s="17" t="s">
        <v>636</v>
      </c>
      <c r="C1465" s="17" t="s">
        <v>609</v>
      </c>
      <c r="D1465" s="20" t="s">
        <v>637</v>
      </c>
      <c r="E1465" s="17" t="s">
        <v>607</v>
      </c>
      <c r="F1465" s="17" t="s">
        <v>607</v>
      </c>
      <c r="G1465" s="17" t="s">
        <v>607</v>
      </c>
      <c r="H1465" s="17" t="s">
        <v>607</v>
      </c>
      <c r="I1465" t="s">
        <v>607</v>
      </c>
      <c r="J1465" s="17" t="s">
        <v>611</v>
      </c>
      <c r="K1465" s="5" t="str">
        <f>IF(X1465&lt;=0.9,HYPERLINK("http://www.lxhausys.co.kr/popup/rn/download/downloadPopup.jsp?from=plwindow&amp;uu=/upload/window/REPORT/LXH-TW22-026 S3-125PS-224FFGS1R5.pdf","1등급"),IF(X1465&lt;=1.2,HYPERLINK("http://www.lxhausys.co.kr/popup/rn/download/downloadPopup.jsp?from=plwindow&amp;uu=/upload/window/REPORT/LXH-TW22-026 S3-125PS-224FFGS1R5.pdf","2등급"),IF(X1465&lt;=1.8,HYPERLINK("http://www.lxhausys.co.kr/popup/rn/download/downloadPopup.jsp?from=plwindow&amp;uu=/upload/window/REPORT/LXH-TW22-026 S3-125PS-224FFGS1R5.pdf","3등급"),IF(X1465&lt;=2.3,HYPERLINK("http://www.lxhausys.co.kr/popup/rn/download/downloadPopup.jsp?from=plwindow&amp;uu=/upload/window/REPORT/LXH-TW22-026 S3-125PS-224FFGS1R5.pdf","4등급"),IF(X1465&lt;=2.8,HYPERLINK("http://www.lxhausys.co.kr/popup/rn/download/downloadPopup.jsp?from=plwindow&amp;uu=/upload/window/REPORT/LXH-TW22-026 S3-125PS-224FFGS1R5.pdf","5등급"),HYPERLINK("http://www.lxhausys.co.kr/popup/rn/download/downloadPopup.jsp?from=plwindow&amp;uu=/upload/window/REPORT/LXH-TW22-026 S3-125PS-224FFGS1R5.pdf","등급외"))))))</f>
        <v>3등급</v>
      </c>
      <c r="L1465" s="17">
        <v>1.6859999999999999</v>
      </c>
      <c r="M1465" s="17" t="s">
        <v>613</v>
      </c>
      <c r="N1465" t="s">
        <v>607</v>
      </c>
      <c r="O1465" t="s">
        <v>607</v>
      </c>
      <c r="P1465" t="s">
        <v>607</v>
      </c>
      <c r="Q1465" t="s">
        <v>607</v>
      </c>
      <c r="R1465" t="s">
        <v>607</v>
      </c>
      <c r="S1465" t="s">
        <v>607</v>
      </c>
      <c r="T1465" t="s">
        <v>607</v>
      </c>
      <c r="U1465" t="s">
        <v>607</v>
      </c>
      <c r="V1465" t="s">
        <v>607</v>
      </c>
      <c r="W1465" s="17" t="s">
        <v>615</v>
      </c>
      <c r="X1465" s="19">
        <f t="shared" si="18"/>
        <v>1.6859999999999999</v>
      </c>
    </row>
    <row r="1466" spans="1:24">
      <c r="A1466" s="17" t="s">
        <v>636</v>
      </c>
      <c r="B1466" s="17" t="s">
        <v>636</v>
      </c>
      <c r="C1466" s="17" t="s">
        <v>609</v>
      </c>
      <c r="D1466" s="20" t="s">
        <v>638</v>
      </c>
      <c r="E1466" s="17" t="s">
        <v>607</v>
      </c>
      <c r="F1466" s="17" t="s">
        <v>607</v>
      </c>
      <c r="G1466" s="17" t="s">
        <v>607</v>
      </c>
      <c r="H1466" s="17" t="s">
        <v>607</v>
      </c>
      <c r="I1466" t="s">
        <v>607</v>
      </c>
      <c r="J1466" s="17" t="s">
        <v>611</v>
      </c>
      <c r="K1466" s="5" t="str">
        <f>IF(X1466&lt;=0.9,HYPERLINK("http://www.lxhausys.co.kr/popup/rn/download/downloadPopup.jsp?from=plwindow&amp;uu=/upload/window/REPORT/LXH-TW22-025 S3-125PS-222FFGS1R5.pdf","1등급"),IF(X1466&lt;=1.2,HYPERLINK("http://www.lxhausys.co.kr/popup/rn/download/downloadPopup.jsp?from=plwindow&amp;uu=/upload/window/REPORT/LXH-TW22-025 S3-125PS-222FFGS1R5.pdf","2등급"),IF(X1466&lt;=1.8,HYPERLINK("http://www.lxhausys.co.kr/popup/rn/download/downloadPopup.jsp?from=plwindow&amp;uu=/upload/window/REPORT/LXH-TW22-025 S3-125PS-222FFGS1R5.pdf","3등급"),IF(X1466&lt;=2.3,HYPERLINK("http://www.lxhausys.co.kr/popup/rn/download/downloadPopup.jsp?from=plwindow&amp;uu=/upload/window/REPORT/LXH-TW22-025 S3-125PS-222FFGS1R5.pdf","4등급"),IF(X1466&lt;=2.8,HYPERLINK("http://www.lxhausys.co.kr/popup/rn/download/downloadPopup.jsp?from=plwindow&amp;uu=/upload/window/REPORT/LXH-TW22-025 S3-125PS-222FFGS1R5.pdf","5등급"),HYPERLINK("http://www.lxhausys.co.kr/popup/rn/download/downloadPopup.jsp?from=plwindow&amp;uu=/upload/window/REPORT/LXH-TW22-025 S3-125PS-222FFGS1R5.pdf","등급외"))))))</f>
        <v>3등급</v>
      </c>
      <c r="L1466" s="17">
        <v>1.7889999999999999</v>
      </c>
      <c r="M1466" s="17" t="s">
        <v>613</v>
      </c>
      <c r="N1466" t="s">
        <v>607</v>
      </c>
      <c r="O1466" t="s">
        <v>607</v>
      </c>
      <c r="P1466" t="s">
        <v>607</v>
      </c>
      <c r="Q1466" t="s">
        <v>607</v>
      </c>
      <c r="R1466" t="s">
        <v>607</v>
      </c>
      <c r="S1466" t="s">
        <v>607</v>
      </c>
      <c r="T1466" t="s">
        <v>607</v>
      </c>
      <c r="U1466" t="s">
        <v>607</v>
      </c>
      <c r="V1466" t="s">
        <v>607</v>
      </c>
      <c r="W1466" s="17" t="s">
        <v>615</v>
      </c>
      <c r="X1466" s="19">
        <f t="shared" si="18"/>
        <v>1.7889999999999999</v>
      </c>
    </row>
    <row r="1467" spans="1:24">
      <c r="A1467" s="17" t="s">
        <v>616</v>
      </c>
      <c r="B1467" s="17" t="s">
        <v>616</v>
      </c>
      <c r="C1467" s="17" t="s">
        <v>609</v>
      </c>
      <c r="D1467" s="20" t="s">
        <v>618</v>
      </c>
      <c r="E1467" s="17" t="s">
        <v>607</v>
      </c>
      <c r="F1467" s="17" t="s">
        <v>607</v>
      </c>
      <c r="G1467" s="17" t="s">
        <v>607</v>
      </c>
      <c r="H1467" s="17" t="s">
        <v>639</v>
      </c>
      <c r="I1467" t="s">
        <v>607</v>
      </c>
      <c r="J1467" s="17" t="s">
        <v>611</v>
      </c>
      <c r="K1467" s="5" t="str">
        <f>IF(X1467&lt;=0.9,HYPERLINK("http://www.lxhausys.co.kr/popup/rn/download/downloadPopup.jsp?from=plwindow&amp;uu=/upload/window/REPORT/LXH-TW22-022 S3-235-444UGGS2A5.pdf","1등급"),IF(X1467&lt;=1.2,HYPERLINK("http://www.lxhausys.co.kr/popup/rn/download/downloadPopup.jsp?from=plwindow&amp;uu=/upload/window/REPORT/LXH-TW22-022 S3-235-444UGGS2A5.pdf","2등급"),IF(X1467&lt;=1.8,HYPERLINK("http://www.lxhausys.co.kr/popup/rn/download/downloadPopup.jsp?from=plwindow&amp;uu=/upload/window/REPORT/LXH-TW22-022 S3-235-444UGGS2A5.pdf","3등급"),IF(X1467&lt;=2.3,HYPERLINK("http://www.lxhausys.co.kr/popup/rn/download/downloadPopup.jsp?from=plwindow&amp;uu=/upload/window/REPORT/LXH-TW22-022 S3-235-444UGGS2A5.pdf","4등급"),IF(X1467&lt;=2.8,HYPERLINK("http://www.lxhausys.co.kr/popup/rn/download/downloadPopup.jsp?from=plwindow&amp;uu=/upload/window/REPORT/LXH-TW22-022 S3-235-444UGGS2A5.pdf","5등급"),HYPERLINK("http://www.lxhausys.co.kr/popup/rn/download/downloadPopup.jsp?from=plwindow&amp;uu=/upload/window/REPORT/LXH-TW22-022 S3-235-444UGGS2A5.pdf","등급외"))))))</f>
        <v>1등급</v>
      </c>
      <c r="L1467" s="17">
        <v>0.79700000000000004</v>
      </c>
      <c r="M1467" s="17" t="s">
        <v>619</v>
      </c>
      <c r="N1467" t="s">
        <v>607</v>
      </c>
      <c r="O1467" t="s">
        <v>607</v>
      </c>
      <c r="P1467" t="s">
        <v>607</v>
      </c>
      <c r="Q1467" t="s">
        <v>607</v>
      </c>
      <c r="R1467" t="s">
        <v>607</v>
      </c>
      <c r="S1467" t="s">
        <v>607</v>
      </c>
      <c r="T1467" t="s">
        <v>607</v>
      </c>
      <c r="U1467" t="s">
        <v>607</v>
      </c>
      <c r="V1467" t="s">
        <v>607</v>
      </c>
      <c r="W1467" s="17" t="s">
        <v>615</v>
      </c>
      <c r="X1467" s="19">
        <f t="shared" si="18"/>
        <v>0.79700000000000004</v>
      </c>
    </row>
    <row r="1468" spans="1:24">
      <c r="A1468" s="17" t="s">
        <v>640</v>
      </c>
      <c r="B1468" s="17" t="s">
        <v>640</v>
      </c>
      <c r="C1468" s="17" t="s">
        <v>609</v>
      </c>
      <c r="D1468" s="17" t="s">
        <v>637</v>
      </c>
      <c r="E1468" t="s">
        <v>607</v>
      </c>
      <c r="F1468" t="s">
        <v>607</v>
      </c>
      <c r="G1468" t="s">
        <v>607</v>
      </c>
      <c r="H1468" s="17" t="s">
        <v>637</v>
      </c>
      <c r="I1468" t="s">
        <v>607</v>
      </c>
      <c r="J1468" s="17" t="s">
        <v>611</v>
      </c>
      <c r="K1468" s="5" t="str">
        <f>IF(X1468&lt;=0.9,HYPERLINK("http://www.lxhausys.co.kr/popup/rn/download/downloadPopup.jsp?from=plwindow&amp;uu=/upload/window/REPORT/LXH-TW22-030 S3-235PS-444GSGS2R5.pdf","1등급"),IF(X1468&lt;=1.2,HYPERLINK("http://www.lxhausys.co.kr/popup/rn/download/downloadPopup.jsp?from=plwindow&amp;uu=/upload/window/REPORT/LXH-TW22-030 S3-235PS-444GSGS2R5.pdf","2등급"),IF(X1468&lt;=1.8,HYPERLINK("http://www.lxhausys.co.kr/popup/rn/download/downloadPopup.jsp?from=plwindow&amp;uu=/upload/window/REPORT/LXH-TW22-030 S3-235PS-444GSGS2R5.pdf","3등급"),IF(X1468&lt;=2.3,HYPERLINK("http://www.lxhausys.co.kr/popup/rn/download/downloadPopup.jsp?from=plwindow&amp;uu=/upload/window/REPORT/LXH-TW22-030 S3-235PS-444GSGS2R5.pdf","4등급"),IF(X1468&lt;=2.8,HYPERLINK("http://www.lxhausys.co.kr/popup/rn/download/downloadPopup.jsp?from=plwindow&amp;uu=/upload/window/REPORT/LXH-TW22-030 S3-235PS-444GSGS2R5.pdf","5등급"),HYPERLINK("http://www.lxhausys.co.kr/popup/rn/download/downloadPopup.jsp?from=plwindow&amp;uu=/upload/window/REPORT/LXH-TW22-030 S3-235PS-444GSGS2R5.pdf","등급외"))))))</f>
        <v>1등급</v>
      </c>
      <c r="L1468" s="17">
        <v>0.67200000000000004</v>
      </c>
      <c r="M1468" s="17" t="s">
        <v>619</v>
      </c>
      <c r="N1468" t="s">
        <v>607</v>
      </c>
      <c r="O1468" t="s">
        <v>607</v>
      </c>
      <c r="P1468" t="s">
        <v>607</v>
      </c>
      <c r="Q1468" t="s">
        <v>607</v>
      </c>
      <c r="R1468" t="s">
        <v>607</v>
      </c>
      <c r="S1468" t="s">
        <v>607</v>
      </c>
      <c r="T1468" t="s">
        <v>607</v>
      </c>
      <c r="U1468" t="s">
        <v>607</v>
      </c>
      <c r="V1468" t="s">
        <v>607</v>
      </c>
      <c r="W1468" s="17" t="s">
        <v>615</v>
      </c>
      <c r="X1468" s="19">
        <f t="shared" si="18"/>
        <v>0.67200000000000004</v>
      </c>
    </row>
    <row r="1469" spans="1:24">
      <c r="A1469" s="17" t="s">
        <v>640</v>
      </c>
      <c r="B1469" s="17" t="s">
        <v>640</v>
      </c>
      <c r="C1469" s="17" t="s">
        <v>609</v>
      </c>
      <c r="D1469" s="20" t="s">
        <v>641</v>
      </c>
      <c r="E1469" t="s">
        <v>607</v>
      </c>
      <c r="F1469" t="s">
        <v>607</v>
      </c>
      <c r="G1469" t="s">
        <v>607</v>
      </c>
      <c r="H1469" s="20" t="s">
        <v>641</v>
      </c>
      <c r="I1469" t="s">
        <v>607</v>
      </c>
      <c r="J1469" s="17" t="s">
        <v>611</v>
      </c>
      <c r="K1469" s="5" t="str">
        <f>IF(X1469&lt;=0.9,HYPERLINK("http://www.lxhausys.co.kr/popup/rn/download/downloadPopup.jsp?from=plwindow&amp;uu=/upload/window/REPORT/LXH-TW22-028 S3-235PS-422GSGS2R5.pdf","1등급"),IF(X1469&lt;=1.2,HYPERLINK("http://www.lxhausys.co.kr/popup/rn/download/downloadPopup.jsp?from=plwindow&amp;uu=/upload/window/REPORT/LXH-TW22-028 S3-235PS-422GSGS2R5.pdf","2등급"),IF(X1469&lt;=1.8,HYPERLINK("http://www.lxhausys.co.kr/popup/rn/download/downloadPopup.jsp?from=plwindow&amp;uu=/upload/window/REPORT/LXH-TW22-028 S3-235PS-422GSGS2R5.pdf","3등급"),IF(X1469&lt;=2.3,HYPERLINK("http://www.lxhausys.co.kr/popup/rn/download/downloadPopup.jsp?from=plwindow&amp;uu=/upload/window/REPORT/LXH-TW22-028 S3-235PS-422GSGS2R5.pdf","4등급"),IF(X1469&lt;=2.8,HYPERLINK("http://www.lxhausys.co.kr/popup/rn/download/downloadPopup.jsp?from=plwindow&amp;uu=/upload/window/REPORT/LXH-TW22-028 S3-235PS-422GSGS2R5.pdf","5등급"),HYPERLINK("http://www.lxhausys.co.kr/popup/rn/download/downloadPopup.jsp?from=plwindow&amp;uu=/upload/window/REPORT/LXH-TW22-028 S3-235PS-422GSGS2R5.pdf","등급외"))))))</f>
        <v>1등급</v>
      </c>
      <c r="L1469" s="17">
        <v>0.72899999999999998</v>
      </c>
      <c r="M1469" s="17" t="s">
        <v>619</v>
      </c>
      <c r="N1469" t="s">
        <v>607</v>
      </c>
      <c r="O1469" t="s">
        <v>607</v>
      </c>
      <c r="P1469" t="s">
        <v>607</v>
      </c>
      <c r="Q1469" t="s">
        <v>607</v>
      </c>
      <c r="R1469" t="s">
        <v>607</v>
      </c>
      <c r="S1469" t="s">
        <v>607</v>
      </c>
      <c r="T1469" t="s">
        <v>607</v>
      </c>
      <c r="U1469" t="s">
        <v>607</v>
      </c>
      <c r="V1469" t="s">
        <v>607</v>
      </c>
      <c r="W1469" s="17" t="s">
        <v>615</v>
      </c>
      <c r="X1469" s="19">
        <f t="shared" si="18"/>
        <v>0.72899999999999998</v>
      </c>
    </row>
    <row r="1470" spans="1:24">
      <c r="A1470" s="17" t="s">
        <v>640</v>
      </c>
      <c r="B1470" s="17" t="s">
        <v>640</v>
      </c>
      <c r="C1470" s="17" t="s">
        <v>609</v>
      </c>
      <c r="D1470" s="20" t="s">
        <v>642</v>
      </c>
      <c r="E1470" t="s">
        <v>607</v>
      </c>
      <c r="F1470" t="s">
        <v>607</v>
      </c>
      <c r="G1470" t="s">
        <v>607</v>
      </c>
      <c r="H1470" s="20" t="s">
        <v>642</v>
      </c>
      <c r="I1470" t="s">
        <v>607</v>
      </c>
      <c r="J1470" s="17" t="s">
        <v>611</v>
      </c>
      <c r="K1470" s="5" t="str">
        <f>IF(X1470&lt;=0.9,HYPERLINK("http://www.lxhausys.co.kr/popup/rn/download/downloadPopup.jsp?from=plwindow&amp;uu=/upload/window/REPORT/LXH-TW22-029 S3-235PS-444GSGS2A5.pdf","1등급"),IF(X1470&lt;=1.2,HYPERLINK("http://www.lxhausys.co.kr/popup/rn/download/downloadPopup.jsp?from=plwindow&amp;uu=/upload/window/REPORT/LXH-TW22-029 S3-235PS-444GSGS2A5.pdf","2등급"),IF(X1470&lt;=1.8,HYPERLINK("http://www.lxhausys.co.kr/popup/rn/download/downloadPopup.jsp?from=plwindow&amp;uu=/upload/window/REPORT/LXH-TW22-029 S3-235PS-444GSGS2A5.pdf","3등급"),IF(X1470&lt;=2.3,HYPERLINK("http://www.lxhausys.co.kr/popup/rn/download/downloadPopup.jsp?from=plwindow&amp;uu=/upload/window/REPORT/LXH-TW22-029 S3-235PS-444GSGS2A5.pdf","4등급"),IF(X1470&lt;=2.8,HYPERLINK("http://www.lxhausys.co.kr/popup/rn/download/downloadPopup.jsp?from=plwindow&amp;uu=/upload/window/REPORT/LXH-TW22-029 S3-235PS-444GSGS2A5.pdf","5등급"),HYPERLINK("http://www.lxhausys.co.kr/popup/rn/download/downloadPopup.jsp?from=plwindow&amp;uu=/upload/window/REPORT/LXH-TW22-029 S3-235PS-444GSGS2A5.pdf","등급외"))))))</f>
        <v>1등급</v>
      </c>
      <c r="L1470" s="17">
        <v>0.80400000000000005</v>
      </c>
      <c r="M1470" s="17" t="s">
        <v>619</v>
      </c>
      <c r="N1470" t="s">
        <v>607</v>
      </c>
      <c r="O1470" t="s">
        <v>607</v>
      </c>
      <c r="P1470" t="s">
        <v>607</v>
      </c>
      <c r="Q1470" t="s">
        <v>607</v>
      </c>
      <c r="R1470" t="s">
        <v>607</v>
      </c>
      <c r="S1470" t="s">
        <v>607</v>
      </c>
      <c r="T1470" t="s">
        <v>607</v>
      </c>
      <c r="U1470" t="s">
        <v>607</v>
      </c>
      <c r="V1470" t="s">
        <v>607</v>
      </c>
      <c r="W1470" s="17" t="s">
        <v>615</v>
      </c>
      <c r="X1470" s="19">
        <f t="shared" si="18"/>
        <v>0.80400000000000005</v>
      </c>
    </row>
    <row r="1471" spans="1:24">
      <c r="A1471" s="17" t="s">
        <v>640</v>
      </c>
      <c r="B1471" s="17" t="s">
        <v>640</v>
      </c>
      <c r="C1471" s="17" t="s">
        <v>609</v>
      </c>
      <c r="D1471" s="20" t="s">
        <v>643</v>
      </c>
      <c r="E1471" t="s">
        <v>607</v>
      </c>
      <c r="F1471" t="s">
        <v>607</v>
      </c>
      <c r="G1471" t="s">
        <v>607</v>
      </c>
      <c r="H1471" s="20" t="s">
        <v>643</v>
      </c>
      <c r="I1471" t="s">
        <v>607</v>
      </c>
      <c r="J1471" s="17" t="s">
        <v>611</v>
      </c>
      <c r="K1471" s="5" t="str">
        <f>IF(X1471&lt;=0.9,HYPERLINK("http://www.lxhausys.co.kr/popup/rn/download/downloadPopup.jsp?from=plwindow&amp;uu=/upload/window/REPORT/LXH-TW22-027 S3-235PS-422GSGS2A5.pdf","1등급"),IF(X1471&lt;=1.2,HYPERLINK("http://www.lxhausys.co.kr/popup/rn/download/downloadPopup.jsp?from=plwindow&amp;uu=/upload/window/REPORT/LXH-TW22-027 S3-235PS-422GSGS2A5.pdf","2등급"),IF(X1471&lt;=1.8,HYPERLINK("http://www.lxhausys.co.kr/popup/rn/download/downloadPopup.jsp?from=plwindow&amp;uu=/upload/window/REPORT/LXH-TW22-027 S3-235PS-422GSGS2A5.pdf","3등급"),IF(X1471&lt;=2.3,HYPERLINK("http://www.lxhausys.co.kr/popup/rn/download/downloadPopup.jsp?from=plwindow&amp;uu=/upload/window/REPORT/LXH-TW22-027 S3-235PS-422GSGS2A5.pdf","4등급"),IF(X1471&lt;=2.8,HYPERLINK("http://www.lxhausys.co.kr/popup/rn/download/downloadPopup.jsp?from=plwindow&amp;uu=/upload/window/REPORT/LXH-TW22-027 S3-235PS-422GSGS2A5.pdf","5등급"),HYPERLINK("http://www.lxhausys.co.kr/popup/rn/download/downloadPopup.jsp?from=plwindow&amp;uu=/upload/window/REPORT/LXH-TW22-027 S3-235PS-422GSGS2A5.pdf","등급외"))))))</f>
        <v>1등급</v>
      </c>
      <c r="L1471" s="17">
        <v>0.88</v>
      </c>
      <c r="M1471" s="17" t="s">
        <v>619</v>
      </c>
      <c r="N1471" t="s">
        <v>607</v>
      </c>
      <c r="O1471" t="s">
        <v>607</v>
      </c>
      <c r="P1471" t="s">
        <v>607</v>
      </c>
      <c r="Q1471" t="s">
        <v>607</v>
      </c>
      <c r="R1471" t="s">
        <v>607</v>
      </c>
      <c r="S1471" t="s">
        <v>607</v>
      </c>
      <c r="T1471" t="s">
        <v>607</v>
      </c>
      <c r="U1471" t="s">
        <v>607</v>
      </c>
      <c r="V1471" t="s">
        <v>607</v>
      </c>
      <c r="W1471" s="17" t="s">
        <v>615</v>
      </c>
      <c r="X1471" s="19">
        <f t="shared" si="18"/>
        <v>0.88</v>
      </c>
    </row>
    <row r="1472" spans="1:24">
      <c r="A1472" s="17" t="s">
        <v>624</v>
      </c>
      <c r="B1472" s="17" t="s">
        <v>624</v>
      </c>
      <c r="C1472" s="17" t="s">
        <v>609</v>
      </c>
      <c r="D1472" s="20" t="s">
        <v>618</v>
      </c>
      <c r="E1472" t="s">
        <v>607</v>
      </c>
      <c r="F1472" t="s">
        <v>607</v>
      </c>
      <c r="G1472" t="s">
        <v>607</v>
      </c>
      <c r="H1472" s="20" t="s">
        <v>642</v>
      </c>
      <c r="I1472" t="s">
        <v>607</v>
      </c>
      <c r="J1472" s="17" t="s">
        <v>611</v>
      </c>
      <c r="K1472" s="5" t="str">
        <f>IF(X1472&lt;=0.9,HYPERLINK("http://www.lxhausys.co.kr/popup/rn/download/downloadPopup.jsp?from=plwindow&amp;uu=/upload/window/REPORT/LXH-TW22-031 S5-250-444UGGS2A5.pdf","1등급"),IF(X1472&lt;=1.2,HYPERLINK("http://www.lxhausys.co.kr/popup/rn/download/downloadPopup.jsp?from=plwindow&amp;uu=/upload/window/REPORT/LXH-TW22-031 S5-250-444UGGS2A5.pdf","2등급"),IF(X1472&lt;=1.8,HYPERLINK("http://www.lxhausys.co.kr/popup/rn/download/downloadPopup.jsp?from=plwindow&amp;uu=/upload/window/REPORT/LXH-TW22-031 S5-250-444UGGS2A5.pdf","3등급"),IF(X1472&lt;=2.3,HYPERLINK("http://www.lxhausys.co.kr/popup/rn/download/downloadPopup.jsp?from=plwindow&amp;uu=/upload/window/REPORT/LXH-TW22-031 S5-250-444UGGS2A5.pdf","4등급"),IF(X1472&lt;=2.8,HYPERLINK("http://www.lxhausys.co.kr/popup/rn/download/downloadPopup.jsp?from=plwindow&amp;uu=/upload/window/REPORT/LXH-TW22-031 S5-250-444UGGS2A5.pdf","5등급"),HYPERLINK("http://www.lxhausys.co.kr/popup/rn/download/downloadPopup.jsp?from=plwindow&amp;uu=/upload/window/REPORT/LXH-TW22-031 S5-250-444UGGS2A5.pdf","등급외"))))))</f>
        <v>1등급</v>
      </c>
      <c r="L1472" s="17">
        <v>0.81399999999999995</v>
      </c>
      <c r="M1472" s="17" t="s">
        <v>619</v>
      </c>
      <c r="N1472" t="s">
        <v>607</v>
      </c>
      <c r="O1472" t="s">
        <v>607</v>
      </c>
      <c r="P1472" t="s">
        <v>607</v>
      </c>
      <c r="Q1472" t="s">
        <v>607</v>
      </c>
      <c r="R1472" t="s">
        <v>607</v>
      </c>
      <c r="S1472" t="s">
        <v>607</v>
      </c>
      <c r="T1472" t="s">
        <v>607</v>
      </c>
      <c r="U1472" t="s">
        <v>607</v>
      </c>
      <c r="V1472" t="s">
        <v>607</v>
      </c>
      <c r="W1472" s="17" t="s">
        <v>615</v>
      </c>
      <c r="X1472" s="19">
        <f t="shared" si="18"/>
        <v>0.81399999999999995</v>
      </c>
    </row>
    <row r="1473" spans="1:24">
      <c r="A1473" s="17" t="s">
        <v>625</v>
      </c>
      <c r="B1473" s="17" t="s">
        <v>625</v>
      </c>
      <c r="C1473" s="17" t="s">
        <v>609</v>
      </c>
      <c r="D1473" s="20" t="s">
        <v>617</v>
      </c>
      <c r="E1473" t="s">
        <v>607</v>
      </c>
      <c r="F1473" t="s">
        <v>607</v>
      </c>
      <c r="G1473" t="s">
        <v>607</v>
      </c>
      <c r="H1473" s="20" t="s">
        <v>607</v>
      </c>
      <c r="I1473" t="s">
        <v>607</v>
      </c>
      <c r="J1473" s="17" t="s">
        <v>611</v>
      </c>
      <c r="K1473" s="5" t="str">
        <f>IF(X1473&lt;=0.9,HYPERLINK("http://www.lxhausys.co.kr/popup/rn/download/downloadPopup.jsp?from=plwindow&amp;uu=/upload/window/REPORT/LXH-TW22-023 S7-150N-224FFUG1R5.pdf","1등급"),IF(X1473&lt;=1.2,HYPERLINK("http://www.lxhausys.co.kr/popup/rn/download/downloadPopup.jsp?from=plwindow&amp;uu=/upload/window/REPORT/LXH-TW22-023 S7-150N-224FFUG1R5.pdf","2등급"),IF(X1473&lt;=1.8,HYPERLINK("http://www.lxhausys.co.kr/popup/rn/download/downloadPopup.jsp?from=plwindow&amp;uu=/upload/window/REPORT/LXH-TW22-023 S7-150N-224FFUG1R5.pdf","3등급"),IF(X1473&lt;=2.3,HYPERLINK("http://www.lxhausys.co.kr/popup/rn/download/downloadPopup.jsp?from=plwindow&amp;uu=/upload/window/REPORT/LXH-TW22-023 S7-150N-224FFUG1R5.pdf","4등급"),IF(X1473&lt;=2.8,HYPERLINK("http://www.lxhausys.co.kr/popup/rn/download/downloadPopup.jsp?from=plwindow&amp;uu=/upload/window/REPORT/LXH-TW22-023 S7-150N-224FFUG1R5.pdf","5등급"),HYPERLINK("http://www.lxhausys.co.kr/popup/rn/download/downloadPopup.jsp?from=plwindow&amp;uu=/upload/window/REPORT/LXH-TW22-023 S7-150N-224FFUG1R5.pdf","등급외"))))))</f>
        <v>3등급</v>
      </c>
      <c r="L1473" s="17">
        <v>1.5289999999999999</v>
      </c>
      <c r="M1473" s="17" t="s">
        <v>613</v>
      </c>
      <c r="N1473" t="s">
        <v>607</v>
      </c>
      <c r="O1473" t="s">
        <v>607</v>
      </c>
      <c r="P1473" t="s">
        <v>607</v>
      </c>
      <c r="Q1473" t="s">
        <v>607</v>
      </c>
      <c r="R1473" t="s">
        <v>607</v>
      </c>
      <c r="S1473" t="s">
        <v>607</v>
      </c>
      <c r="T1473" t="s">
        <v>607</v>
      </c>
      <c r="U1473" t="s">
        <v>607</v>
      </c>
      <c r="V1473" t="s">
        <v>607</v>
      </c>
      <c r="W1473" s="17" t="s">
        <v>615</v>
      </c>
      <c r="X1473" s="19">
        <f t="shared" si="18"/>
        <v>1.5289999999999999</v>
      </c>
    </row>
    <row r="1474" spans="1:24">
      <c r="A1474" s="17" t="s">
        <v>644</v>
      </c>
      <c r="B1474" s="17" t="s">
        <v>644</v>
      </c>
      <c r="C1474" s="17" t="s">
        <v>609</v>
      </c>
      <c r="D1474" s="20" t="s">
        <v>618</v>
      </c>
      <c r="E1474" t="s">
        <v>607</v>
      </c>
      <c r="F1474" t="s">
        <v>607</v>
      </c>
      <c r="G1474" t="s">
        <v>607</v>
      </c>
      <c r="H1474" s="20" t="s">
        <v>642</v>
      </c>
      <c r="I1474" t="s">
        <v>607</v>
      </c>
      <c r="J1474" s="17" t="s">
        <v>611</v>
      </c>
      <c r="K1474" s="5" t="str">
        <f>IF(X1474&lt;=0.9,HYPERLINK("http://www.lxhausys.co.kr/popup/rn/download/downloadPopup.jsp?from=plwindow&amp;uu=/upload/window/REPORT/LXH-TW22-024 S7-290N-444UGGS2A5.pdf","1등급"),IF(X1474&lt;=1.2,HYPERLINK("http://www.lxhausys.co.kr/popup/rn/download/downloadPopup.jsp?from=plwindow&amp;uu=/upload/window/REPORT/LXH-TW22-024 S7-290N-444UGGS2A5.pdf","2등급"),IF(X1474&lt;=1.8,HYPERLINK("http://www.lxhausys.co.kr/popup/rn/download/downloadPopup.jsp?from=plwindow&amp;uu=/upload/window/REPORT/LXH-TW22-024 S7-290N-444UGGS2A5.pdf","3등급"),IF(X1474&lt;=2.3,HYPERLINK("http://www.lxhausys.co.kr/popup/rn/download/downloadPopup.jsp?from=plwindow&amp;uu=/upload/window/REPORT/LXH-TW22-024 S7-290N-444UGGS2A5.pdf","4등급"),IF(X1474&lt;=2.8,HYPERLINK("http://www.lxhausys.co.kr/popup/rn/download/downloadPopup.jsp?from=plwindow&amp;uu=/upload/window/REPORT/LXH-TW22-024 S7-290N-444UGGS2A5.pdf","5등급"),HYPERLINK("http://www.lxhausys.co.kr/popup/rn/download/downloadPopup.jsp?from=plwindow&amp;uu=/upload/window/REPORT/LXH-TW22-024 S7-290N-444UGGS2A5.pdf","등급외"))))))</f>
        <v>1등급</v>
      </c>
      <c r="L1474">
        <v>0.71699999999999997</v>
      </c>
      <c r="M1474" s="17" t="s">
        <v>619</v>
      </c>
      <c r="N1474" t="s">
        <v>607</v>
      </c>
      <c r="O1474" t="s">
        <v>607</v>
      </c>
      <c r="P1474" t="s">
        <v>607</v>
      </c>
      <c r="Q1474" t="s">
        <v>607</v>
      </c>
      <c r="R1474" t="s">
        <v>607</v>
      </c>
      <c r="S1474" t="s">
        <v>607</v>
      </c>
      <c r="T1474" t="s">
        <v>607</v>
      </c>
      <c r="U1474" t="s">
        <v>607</v>
      </c>
      <c r="V1474" t="s">
        <v>607</v>
      </c>
      <c r="W1474" s="17" t="s">
        <v>615</v>
      </c>
      <c r="X1474" s="19">
        <f t="shared" si="18"/>
        <v>0.71699999999999997</v>
      </c>
    </row>
    <row r="1475" spans="1:24">
      <c r="A1475" s="17" t="s">
        <v>644</v>
      </c>
      <c r="B1475" s="17" t="s">
        <v>644</v>
      </c>
      <c r="C1475" s="17" t="s">
        <v>609</v>
      </c>
      <c r="D1475" s="20" t="s">
        <v>620</v>
      </c>
      <c r="E1475" t="s">
        <v>607</v>
      </c>
      <c r="F1475" t="s">
        <v>607</v>
      </c>
      <c r="G1475" t="s">
        <v>607</v>
      </c>
      <c r="H1475" s="20" t="s">
        <v>642</v>
      </c>
      <c r="I1475" t="s">
        <v>607</v>
      </c>
      <c r="J1475" s="17" t="s">
        <v>611</v>
      </c>
      <c r="K1475" s="5" t="str">
        <f>IF(X1475&lt;=0.9,HYPERLINK("http://www.lxhausys.co.kr/popup/rn/download/downloadPopup.jsp?from=plwindow&amp;uu=/upload/window/REPORT/LGH-TW21-014 S7-290N-444GGGS2A5.pdf","1등급"),IF(X1475&lt;=1.2,HYPERLINK("http://www.lxhausys.co.kr/popup/rn/download/downloadPopup.jsp?from=plwindow&amp;uu=/upload/window/REPORT/LGH-TW21-014 S7-290N-444GGGS2A5.pdf","2등급"),IF(X1475&lt;=1.8,HYPERLINK("http://www.lxhausys.co.kr/popup/rn/download/downloadPopup.jsp?from=plwindow&amp;uu=/upload/window/REPORT/LGH-TW21-014 S7-290N-444GGGS2A5.pdf","3등급"),IF(X1475&lt;=2.3,HYPERLINK("http://www.lxhausys.co.kr/popup/rn/download/downloadPopup.jsp?from=plwindow&amp;uu=/upload/window/REPORT/LGH-TW21-014 S7-290N-444GGGS2A5.pdf","4등급"),IF(X1475&lt;=2.8,HYPERLINK("http://www.lxhausys.co.kr/popup/rn/download/downloadPopup.jsp?from=plwindow&amp;uu=/upload/window/REPORT/LGH-TW21-014 S7-290N-444GGGS2A5.pdf","5등급"),HYPERLINK("http://www.lxhausys.co.kr/popup/rn/download/downloadPopup.jsp?from=plwindow&amp;uu=/upload/window/REPORT/LGH-TW21-014 S7-290N-444GGGS2A5.pdf","등급외"))))))</f>
        <v>1등급</v>
      </c>
      <c r="L1475">
        <v>0.87</v>
      </c>
      <c r="M1475" s="17" t="s">
        <v>619</v>
      </c>
      <c r="N1475" t="s">
        <v>607</v>
      </c>
      <c r="O1475" t="s">
        <v>607</v>
      </c>
      <c r="P1475" t="s">
        <v>607</v>
      </c>
      <c r="Q1475" t="s">
        <v>607</v>
      </c>
      <c r="R1475" t="s">
        <v>607</v>
      </c>
      <c r="S1475" t="s">
        <v>607</v>
      </c>
      <c r="T1475" t="s">
        <v>607</v>
      </c>
      <c r="U1475" t="s">
        <v>607</v>
      </c>
      <c r="V1475" t="s">
        <v>607</v>
      </c>
      <c r="W1475" s="17" t="s">
        <v>615</v>
      </c>
      <c r="X1475" s="19">
        <f t="shared" si="18"/>
        <v>0.87</v>
      </c>
    </row>
    <row r="1476" spans="1:24">
      <c r="A1476" s="17" t="s">
        <v>644</v>
      </c>
      <c r="B1476" s="17" t="s">
        <v>644</v>
      </c>
      <c r="C1476" s="17" t="s">
        <v>609</v>
      </c>
      <c r="D1476" s="20" t="s">
        <v>642</v>
      </c>
      <c r="E1476" t="s">
        <v>607</v>
      </c>
      <c r="F1476" t="s">
        <v>607</v>
      </c>
      <c r="G1476" t="s">
        <v>607</v>
      </c>
      <c r="H1476" s="20" t="s">
        <v>620</v>
      </c>
      <c r="I1476" t="s">
        <v>607</v>
      </c>
      <c r="J1476" s="17" t="s">
        <v>611</v>
      </c>
      <c r="K1476" s="5" t="str">
        <f>IF(X1476&lt;=0.9,HYPERLINK("http://www.lxhausys.co.kr/popup/rn/download/downloadPopup.jsp?from=plwindow&amp;uu=/upload/window/REPORT/LGH-TW21-015 S7-290N-444GSGG2A5.pdf","1등급"),IF(X1476&lt;=1.2,HYPERLINK("http://www.lxhausys.co.kr/popup/rn/download/downloadPopup.jsp?from=plwindow&amp;uu=/upload/window/REPORT/LGH-TW21-015 S7-290N-444GSGG2A5.pdf","2등급"),IF(X1476&lt;=1.8,HYPERLINK("http://www.lxhausys.co.kr/popup/rn/download/downloadPopup.jsp?from=plwindow&amp;uu=/upload/window/REPORT/LGH-TW21-015 S7-290N-444GSGG2A5.pdf","3등급"),IF(X1476&lt;=2.3,HYPERLINK("http://www.lxhausys.co.kr/popup/rn/download/downloadPopup.jsp?from=plwindow&amp;uu=/upload/window/REPORT/LGH-TW21-015 S7-290N-444GSGG2A5.pdf","4등급"),IF(X1476&lt;=2.8,HYPERLINK("http://www.lxhausys.co.kr/popup/rn/download/downloadPopup.jsp?from=plwindow&amp;uu=/upload/window/REPORT/LGH-TW21-015 S7-290N-444GSGG2A5.pdf","5등급"),HYPERLINK("http://www.lxhausys.co.kr/popup/rn/download/downloadPopup.jsp?from=plwindow&amp;uu=/upload/window/REPORT/LGH-TW21-015 S7-290N-444GSGG2A5.pdf","등급외"))))))</f>
        <v>2등급</v>
      </c>
      <c r="L1476">
        <v>0.90700000000000003</v>
      </c>
      <c r="M1476" s="17" t="s">
        <v>619</v>
      </c>
      <c r="N1476" t="s">
        <v>607</v>
      </c>
      <c r="O1476" t="s">
        <v>607</v>
      </c>
      <c r="P1476" t="s">
        <v>607</v>
      </c>
      <c r="Q1476" t="s">
        <v>607</v>
      </c>
      <c r="R1476" t="s">
        <v>607</v>
      </c>
      <c r="S1476" t="s">
        <v>607</v>
      </c>
      <c r="T1476" t="s">
        <v>607</v>
      </c>
      <c r="U1476" t="s">
        <v>607</v>
      </c>
      <c r="V1476" t="s">
        <v>607</v>
      </c>
      <c r="W1476" s="17" t="s">
        <v>615</v>
      </c>
      <c r="X1476" s="19">
        <f t="shared" si="18"/>
        <v>0.90700000000000003</v>
      </c>
    </row>
    <row r="1477" spans="1:24">
      <c r="A1477" s="17" t="s">
        <v>644</v>
      </c>
      <c r="B1477" s="17" t="s">
        <v>644</v>
      </c>
      <c r="C1477" s="17" t="s">
        <v>609</v>
      </c>
      <c r="D1477" s="20" t="s">
        <v>642</v>
      </c>
      <c r="E1477" t="s">
        <v>607</v>
      </c>
      <c r="F1477" t="s">
        <v>607</v>
      </c>
      <c r="G1477" t="s">
        <v>607</v>
      </c>
      <c r="H1477" s="20" t="s">
        <v>642</v>
      </c>
      <c r="I1477" t="s">
        <v>607</v>
      </c>
      <c r="J1477" s="17" t="s">
        <v>611</v>
      </c>
      <c r="K1477" s="5" t="str">
        <f>IF(X1477&lt;=0.9,HYPERLINK("http://www.lxhausys.co.kr/popup/rn/download/downloadPopup.jsp?from=plwindow&amp;uu=/upload/window/REPORT/LGH-TW21-016 S7-290N-444GSGS2A5.pdf","1등급"),IF(X1477&lt;=1.2,HYPERLINK("http://www.lxhausys.co.kr/popup/rn/download/downloadPopup.jsp?from=plwindow&amp;uu=/upload/window/REPORT/LGH-TW21-016 S7-290N-444GSGS2A5.pdf","2등급"),IF(X1477&lt;=1.8,HYPERLINK("http://www.lxhausys.co.kr/popup/rn/download/downloadPopup.jsp?from=plwindow&amp;uu=/upload/window/REPORT/LGH-TW21-016 S7-290N-444GSGS2A5.pdf","3등급"),IF(X1477&lt;=2.3,HYPERLINK("http://www.lxhausys.co.kr/popup/rn/download/downloadPopup.jsp?from=plwindow&amp;uu=/upload/window/REPORT/LGH-TW21-016 S7-290N-444GSGS2A5.pdf","4등급"),IF(X1477&lt;=2.8,HYPERLINK("http://www.lxhausys.co.kr/popup/rn/download/downloadPopup.jsp?from=plwindow&amp;uu=/upload/window/REPORT/LGH-TW21-016 S7-290N-444GSGS2A5.pdf","5등급"),HYPERLINK("http://www.lxhausys.co.kr/popup/rn/download/downloadPopup.jsp?from=plwindow&amp;uu=/upload/window/REPORT/LGH-TW21-016 S7-290N-444GSGS2A5.pdf","등급외"))))))</f>
        <v>1등급</v>
      </c>
      <c r="L1477">
        <v>0.71599999999999997</v>
      </c>
      <c r="M1477" s="17" t="s">
        <v>619</v>
      </c>
      <c r="N1477" t="s">
        <v>607</v>
      </c>
      <c r="O1477" t="s">
        <v>607</v>
      </c>
      <c r="P1477" t="s">
        <v>607</v>
      </c>
      <c r="Q1477" t="s">
        <v>607</v>
      </c>
      <c r="R1477" t="s">
        <v>607</v>
      </c>
      <c r="S1477" t="s">
        <v>607</v>
      </c>
      <c r="T1477" t="s">
        <v>607</v>
      </c>
      <c r="U1477" t="s">
        <v>607</v>
      </c>
      <c r="V1477" t="s">
        <v>607</v>
      </c>
      <c r="W1477" s="17" t="s">
        <v>612</v>
      </c>
      <c r="X1477" s="19">
        <f t="shared" si="18"/>
        <v>0.71599999999999997</v>
      </c>
    </row>
    <row r="1478" spans="1:24">
      <c r="A1478" s="17" t="s">
        <v>644</v>
      </c>
      <c r="B1478" s="17" t="s">
        <v>644</v>
      </c>
      <c r="C1478" s="17" t="s">
        <v>609</v>
      </c>
      <c r="D1478" s="20" t="s">
        <v>627</v>
      </c>
      <c r="E1478" t="s">
        <v>607</v>
      </c>
      <c r="F1478" t="s">
        <v>607</v>
      </c>
      <c r="G1478" t="s">
        <v>607</v>
      </c>
      <c r="H1478" s="20" t="s">
        <v>626</v>
      </c>
      <c r="I1478" t="s">
        <v>607</v>
      </c>
      <c r="J1478" s="17" t="s">
        <v>611</v>
      </c>
      <c r="K1478" s="5" t="str">
        <f>IF(X1478&lt;=0.9,HYPERLINK("http://www.lxhausys.co.kr/popup/rn/download/downloadPopup.jsp?from=plwindow&amp;uu=/upload/window/REPORT/LGH-TW21-020 S7-290N-466GGGS1R5.pdf","1등급"),IF(X1478&lt;=1.2,HYPERLINK("http://www.lxhausys.co.kr/popup/rn/download/downloadPopup.jsp?from=plwindow&amp;uu=/upload/window/REPORT/LGH-TW21-020 S7-290N-466GGGS1R5.pdf","2등급"),IF(X1478&lt;=1.8,HYPERLINK("http://www.lxhausys.co.kr/popup/rn/download/downloadPopup.jsp?from=plwindow&amp;uu=/upload/window/REPORT/LGH-TW21-020 S7-290N-466GGGS1R5.pdf","3등급"),IF(X1478&lt;=2.3,HYPERLINK("http://www.lxhausys.co.kr/popup/rn/download/downloadPopup.jsp?from=plwindow&amp;uu=/upload/window/REPORT/LGH-TW21-020 S7-290N-466GGGS1R5.pdf","4등급"),IF(X1478&lt;=2.8,HYPERLINK("http://www.lxhausys.co.kr/popup/rn/download/downloadPopup.jsp?from=plwindow&amp;uu=/upload/window/REPORT/LGH-TW21-020 S7-290N-466GGGS1R5.pdf","5등급"),HYPERLINK("http://www.lxhausys.co.kr/popup/rn/download/downloadPopup.jsp?from=plwindow&amp;uu=/upload/window/REPORT/LGH-TW21-020 S7-290N-466GGGS1R5.pdf","등급외"))))))</f>
        <v>1등급</v>
      </c>
      <c r="L1478">
        <v>0.75800000000000001</v>
      </c>
      <c r="M1478" s="17" t="s">
        <v>619</v>
      </c>
      <c r="N1478" t="s">
        <v>607</v>
      </c>
      <c r="O1478" t="s">
        <v>607</v>
      </c>
      <c r="P1478" t="s">
        <v>607</v>
      </c>
      <c r="Q1478" t="s">
        <v>607</v>
      </c>
      <c r="R1478" t="s">
        <v>607</v>
      </c>
      <c r="S1478" t="s">
        <v>607</v>
      </c>
      <c r="T1478" t="s">
        <v>607</v>
      </c>
      <c r="U1478" t="s">
        <v>607</v>
      </c>
      <c r="V1478" t="s">
        <v>607</v>
      </c>
      <c r="W1478" s="17" t="s">
        <v>615</v>
      </c>
      <c r="X1478" s="19">
        <f t="shared" si="18"/>
        <v>0.75800000000000001</v>
      </c>
    </row>
    <row r="1479" spans="1:24">
      <c r="A1479" s="17" t="s">
        <v>644</v>
      </c>
      <c r="B1479" s="17" t="s">
        <v>644</v>
      </c>
      <c r="C1479" s="17" t="s">
        <v>609</v>
      </c>
      <c r="D1479" s="20" t="s">
        <v>627</v>
      </c>
      <c r="E1479" t="s">
        <v>607</v>
      </c>
      <c r="F1479" t="s">
        <v>607</v>
      </c>
      <c r="G1479" t="s">
        <v>607</v>
      </c>
      <c r="H1479" s="20" t="s">
        <v>629</v>
      </c>
      <c r="I1479" t="s">
        <v>607</v>
      </c>
      <c r="J1479" s="17" t="s">
        <v>611</v>
      </c>
      <c r="K1479" s="5" t="str">
        <f>IF(X1479&lt;=0.9,HYPERLINK("http://www.lxhausys.co.kr/popup/rn/download/downloadPopup.jsp?from=plwindow&amp;uu=/upload/window/REPORT/LGH-TW21-021 S7-290N-466GGGS2A5.pdf","1등급"),IF(X1479&lt;=1.2,HYPERLINK("http://www.lxhausys.co.kr/popup/rn/download/downloadPopup.jsp?from=plwindow&amp;uu=/upload/window/REPORT/LGH-TW21-021 S7-290N-466GGGS2A5.pdf","2등급"),IF(X1479&lt;=1.8,HYPERLINK("http://www.lxhausys.co.kr/popup/rn/download/downloadPopup.jsp?from=plwindow&amp;uu=/upload/window/REPORT/LGH-TW21-021 S7-290N-466GGGS2A5.pdf","3등급"),IF(X1479&lt;=2.3,HYPERLINK("http://www.lxhausys.co.kr/popup/rn/download/downloadPopup.jsp?from=plwindow&amp;uu=/upload/window/REPORT/LGH-TW21-021 S7-290N-466GGGS2A5.pdf","4등급"),IF(X1479&lt;=2.8,HYPERLINK("http://www.lxhausys.co.kr/popup/rn/download/downloadPopup.jsp?from=plwindow&amp;uu=/upload/window/REPORT/LGH-TW21-021 S7-290N-466GGGS2A5.pdf","5등급"),HYPERLINK("http://www.lxhausys.co.kr/popup/rn/download/downloadPopup.jsp?from=plwindow&amp;uu=/upload/window/REPORT/LGH-TW21-021 S7-290N-466GGGS2A5.pdf","등급외"))))))</f>
        <v>1등급</v>
      </c>
      <c r="L1479">
        <v>0.81799999999999995</v>
      </c>
      <c r="M1479" s="17" t="s">
        <v>619</v>
      </c>
      <c r="N1479" t="s">
        <v>607</v>
      </c>
      <c r="O1479" t="s">
        <v>607</v>
      </c>
      <c r="P1479" t="s">
        <v>607</v>
      </c>
      <c r="Q1479" t="s">
        <v>607</v>
      </c>
      <c r="R1479" t="s">
        <v>607</v>
      </c>
      <c r="S1479" t="s">
        <v>607</v>
      </c>
      <c r="T1479" t="s">
        <v>607</v>
      </c>
      <c r="U1479" t="s">
        <v>607</v>
      </c>
      <c r="V1479" t="s">
        <v>607</v>
      </c>
      <c r="W1479" s="17" t="s">
        <v>615</v>
      </c>
      <c r="X1479" s="19">
        <f t="shared" si="18"/>
        <v>0.81799999999999995</v>
      </c>
    </row>
    <row r="1480" spans="1:24">
      <c r="A1480" s="17" t="s">
        <v>644</v>
      </c>
      <c r="B1480" s="17" t="s">
        <v>644</v>
      </c>
      <c r="C1480" s="17" t="s">
        <v>609</v>
      </c>
      <c r="D1480" s="20" t="s">
        <v>629</v>
      </c>
      <c r="E1480" t="s">
        <v>607</v>
      </c>
      <c r="F1480" t="s">
        <v>607</v>
      </c>
      <c r="G1480" t="s">
        <v>607</v>
      </c>
      <c r="H1480" s="20" t="s">
        <v>627</v>
      </c>
      <c r="I1480" t="s">
        <v>607</v>
      </c>
      <c r="J1480" s="17" t="s">
        <v>611</v>
      </c>
      <c r="K1480" s="5" t="str">
        <f>IF(X1480&lt;=0.9,HYPERLINK("http://www.lxhausys.co.kr/popup/rn/download/downloadPopup.jsp?from=plwindow&amp;uu=/upload/window/REPORT/LGH-TW21-022 S7-290N-466GSGG2A5.pdf","1등급"),IF(X1480&lt;=1.2,HYPERLINK("http://www.lxhausys.co.kr/popup/rn/download/downloadPopup.jsp?from=plwindow&amp;uu=/upload/window/REPORT/LGH-TW21-022 S7-290N-466GSGG2A5.pdf","2등급"),IF(X1480&lt;=1.8,HYPERLINK("http://www.lxhausys.co.kr/popup/rn/download/downloadPopup.jsp?from=plwindow&amp;uu=/upload/window/REPORT/LGH-TW21-022 S7-290N-466GSGG2A5.pdf","3등급"),IF(X1480&lt;=2.3,HYPERLINK("http://www.lxhausys.co.kr/popup/rn/download/downloadPopup.jsp?from=plwindow&amp;uu=/upload/window/REPORT/LGH-TW21-022 S7-290N-466GSGG2A5.pdf","4등급"),IF(X1480&lt;=2.8,HYPERLINK("http://www.lxhausys.co.kr/popup/rn/download/downloadPopup.jsp?from=plwindow&amp;uu=/upload/window/REPORT/LGH-TW21-022 S7-290N-466GSGG2A5.pdf","5등급"),HYPERLINK("http://www.lxhausys.co.kr/popup/rn/download/downloadPopup.jsp?from=plwindow&amp;uu=/upload/window/REPORT/LGH-TW21-022 S7-290N-466GSGG2A5.pdf","등급외"))))))</f>
        <v>1등급</v>
      </c>
      <c r="L1480">
        <v>0.85299999999999998</v>
      </c>
      <c r="M1480" s="17" t="s">
        <v>619</v>
      </c>
      <c r="N1480" t="s">
        <v>607</v>
      </c>
      <c r="O1480" t="s">
        <v>607</v>
      </c>
      <c r="P1480" t="s">
        <v>607</v>
      </c>
      <c r="Q1480" t="s">
        <v>607</v>
      </c>
      <c r="R1480" t="s">
        <v>607</v>
      </c>
      <c r="S1480" t="s">
        <v>607</v>
      </c>
      <c r="T1480" t="s">
        <v>607</v>
      </c>
      <c r="U1480" t="s">
        <v>607</v>
      </c>
      <c r="V1480" t="s">
        <v>607</v>
      </c>
      <c r="W1480" s="17" t="s">
        <v>615</v>
      </c>
      <c r="X1480" s="19">
        <f t="shared" si="18"/>
        <v>0.85299999999999998</v>
      </c>
    </row>
    <row r="1481" spans="1:24">
      <c r="A1481" s="17" t="s">
        <v>644</v>
      </c>
      <c r="B1481" s="17" t="s">
        <v>644</v>
      </c>
      <c r="C1481" s="17" t="s">
        <v>609</v>
      </c>
      <c r="D1481" s="20" t="s">
        <v>627</v>
      </c>
      <c r="E1481" t="s">
        <v>607</v>
      </c>
      <c r="F1481" t="s">
        <v>607</v>
      </c>
      <c r="G1481" t="s">
        <v>607</v>
      </c>
      <c r="H1481" s="20" t="s">
        <v>627</v>
      </c>
      <c r="I1481" t="s">
        <v>607</v>
      </c>
      <c r="J1481" s="17" t="s">
        <v>611</v>
      </c>
      <c r="K1481" s="5" t="str">
        <f>IF(X1481&lt;=0.9,HYPERLINK("http://www.lxhausys.co.kr/popup/rn/download/downloadPopup.jsp?from=plwindow&amp;uu=/upload/window/REPORT/LGH-TW21-034 S7-290N-466GGGG2A5.pdf","1등급"),IF(X1481&lt;=1.2,HYPERLINK("http://www.lxhausys.co.kr/popup/rn/download/downloadPopup.jsp?from=plwindow&amp;uu=/upload/window/REPORT/LGH-TW21-034 S7-290N-466GGGG2A5.pdf","2등급"),IF(X1481&lt;=1.8,HYPERLINK("http://www.lxhausys.co.kr/popup/rn/download/downloadPopup.jsp?from=plwindow&amp;uu=/upload/window/REPORT/LGH-TW21-034 S7-290N-466GGGG2A5.pdf","3등급"),IF(X1481&lt;=2.3,HYPERLINK("http://www.lxhausys.co.kr/popup/rn/download/downloadPopup.jsp?from=plwindow&amp;uu=/upload/window/REPORT/LGH-TW21-034 S7-290N-466GGGG2A5.pdf","4등급"),IF(X1481&lt;=2.8,HYPERLINK("http://www.lxhausys.co.kr/popup/rn/download/downloadPopup.jsp?from=plwindow&amp;uu=/upload/window/REPORT/LGH-TW21-034 S7-290N-466GGGG2A5.pdf","5등급"),HYPERLINK("http://www.lxhausys.co.kr/popup/rn/download/downloadPopup.jsp?from=plwindow&amp;uu=/upload/window/REPORT/LGH-TW21-034 S7-290N-466GGGG2A5.pdf","등급외"))))))</f>
        <v>2등급</v>
      </c>
      <c r="L1481">
        <v>1.1299999999999999</v>
      </c>
      <c r="M1481" s="17" t="s">
        <v>619</v>
      </c>
      <c r="N1481" t="s">
        <v>607</v>
      </c>
      <c r="O1481" t="s">
        <v>607</v>
      </c>
      <c r="P1481" t="s">
        <v>607</v>
      </c>
      <c r="Q1481" t="s">
        <v>607</v>
      </c>
      <c r="R1481" t="s">
        <v>607</v>
      </c>
      <c r="S1481" t="s">
        <v>607</v>
      </c>
      <c r="T1481" t="s">
        <v>607</v>
      </c>
      <c r="U1481" t="s">
        <v>607</v>
      </c>
      <c r="V1481" t="s">
        <v>607</v>
      </c>
      <c r="W1481" s="17" t="s">
        <v>615</v>
      </c>
      <c r="X1481" s="19">
        <f t="shared" si="18"/>
        <v>1.1299999999999999</v>
      </c>
    </row>
    <row r="1482" spans="1:24">
      <c r="A1482" s="17" t="s">
        <v>644</v>
      </c>
      <c r="B1482" s="17" t="s">
        <v>644</v>
      </c>
      <c r="C1482" s="17" t="s">
        <v>609</v>
      </c>
      <c r="D1482" s="20" t="s">
        <v>628</v>
      </c>
      <c r="E1482" t="s">
        <v>607</v>
      </c>
      <c r="F1482" t="s">
        <v>607</v>
      </c>
      <c r="G1482" t="s">
        <v>607</v>
      </c>
      <c r="H1482" s="20" t="s">
        <v>628</v>
      </c>
      <c r="I1482" t="s">
        <v>607</v>
      </c>
      <c r="J1482" s="17" t="s">
        <v>630</v>
      </c>
      <c r="K1482" s="5" t="str">
        <f>IF(X1482&lt;=0.9,HYPERLINK("http://www.lxhausys.co.kr/popup/rn/download/downloadPopup.jsp?from=plwindow&amp;uu=/upload/window/REPORT/LGH-TW21-037 S7-290N-488GGGG2A5.pdf","1등급"),IF(X1482&lt;=1.2,HYPERLINK("http://www.lxhausys.co.kr/popup/rn/download/downloadPopup.jsp?from=plwindow&amp;uu=/upload/window/REPORT/LGH-TW21-037 S7-290N-488GGGG2A5.pdf","2등급"),IF(X1482&lt;=1.8,HYPERLINK("http://www.lxhausys.co.kr/popup/rn/download/downloadPopup.jsp?from=plwindow&amp;uu=/upload/window/REPORT/LGH-TW21-037 S7-290N-488GGGG2A5.pdf","3등급"),IF(X1482&lt;=2.3,HYPERLINK("http://www.lxhausys.co.kr/popup/rn/download/downloadPopup.jsp?from=plwindow&amp;uu=/upload/window/REPORT/LGH-TW21-037 S7-290N-488GGGG2A5.pdf","4등급"),IF(X1482&lt;=2.8,HYPERLINK("http://www.lxhausys.co.kr/popup/rn/download/downloadPopup.jsp?from=plwindow&amp;uu=/upload/window/REPORT/LGH-TW21-037 S7-290N-488GGGG2A5.pdf","5등급"),HYPERLINK("http://www.lxhausys.co.kr/popup/rn/download/downloadPopup.jsp?from=plwindow&amp;uu=/upload/window/REPORT/LGH-TW21-037 S7-290N-488GGGG2A5.pdf","등급외"))))))</f>
        <v>2등급</v>
      </c>
      <c r="L1482">
        <v>1.1759999999999999</v>
      </c>
      <c r="M1482" s="17" t="s">
        <v>619</v>
      </c>
      <c r="N1482" t="s">
        <v>607</v>
      </c>
      <c r="O1482" t="s">
        <v>607</v>
      </c>
      <c r="P1482" t="s">
        <v>607</v>
      </c>
      <c r="Q1482" t="s">
        <v>607</v>
      </c>
      <c r="R1482" t="s">
        <v>607</v>
      </c>
      <c r="S1482" t="s">
        <v>607</v>
      </c>
      <c r="T1482" t="s">
        <v>607</v>
      </c>
      <c r="U1482" t="s">
        <v>607</v>
      </c>
      <c r="V1482" t="s">
        <v>607</v>
      </c>
      <c r="W1482" s="17" t="s">
        <v>615</v>
      </c>
      <c r="X1482" s="19">
        <f t="shared" si="18"/>
        <v>1.1759999999999999</v>
      </c>
    </row>
    <row r="1483" spans="1:24">
      <c r="A1483" s="17" t="s">
        <v>644</v>
      </c>
      <c r="B1483" s="17" t="s">
        <v>644</v>
      </c>
      <c r="C1483" s="17" t="s">
        <v>609</v>
      </c>
      <c r="D1483" s="20" t="s">
        <v>628</v>
      </c>
      <c r="E1483" t="s">
        <v>607</v>
      </c>
      <c r="F1483" t="s">
        <v>607</v>
      </c>
      <c r="G1483" t="s">
        <v>607</v>
      </c>
      <c r="H1483" s="20" t="s">
        <v>631</v>
      </c>
      <c r="I1483" t="s">
        <v>607</v>
      </c>
      <c r="J1483" s="17" t="s">
        <v>630</v>
      </c>
      <c r="K1483" s="5" t="str">
        <f>IF(X1483&lt;=0.9,HYPERLINK("http://www.lxhausys.co.kr/popup/rn/download/downloadPopup.jsp?from=plwindow&amp;uu=/upload/window/REPORT/LGH-TW21-038 S7-290N-488GGGS2A5.pdf","1등급"),IF(X1483&lt;=1.2,HYPERLINK("http://www.lxhausys.co.kr/popup/rn/download/downloadPopup.jsp?from=plwindow&amp;uu=/upload/window/REPORT/LGH-TW21-038 S7-290N-488GGGS2A5.pdf","2등급"),IF(X1483&lt;=1.8,HYPERLINK("http://www.lxhausys.co.kr/popup/rn/download/downloadPopup.jsp?from=plwindow&amp;uu=/upload/window/REPORT/LGH-TW21-038 S7-290N-488GGGS2A5.pdf","3등급"),IF(X1483&lt;=2.3,HYPERLINK("http://www.lxhausys.co.kr/popup/rn/download/downloadPopup.jsp?from=plwindow&amp;uu=/upload/window/REPORT/LGH-TW21-038 S7-290N-488GGGS2A5.pdf","4등급"),IF(X1483&lt;=2.8,HYPERLINK("http://www.lxhausys.co.kr/popup/rn/download/downloadPopup.jsp?from=plwindow&amp;uu=/upload/window/REPORT/LGH-TW21-038 S7-290N-488GGGS2A5.pdf","5등급"),HYPERLINK("http://www.lxhausys.co.kr/popup/rn/download/downloadPopup.jsp?from=plwindow&amp;uu=/upload/window/REPORT/LGH-TW21-038 S7-290N-488GGGS2A5.pdf","등급외"))))))</f>
        <v>1등급</v>
      </c>
      <c r="L1483">
        <v>0.85</v>
      </c>
      <c r="M1483" s="17" t="s">
        <v>619</v>
      </c>
      <c r="N1483" t="s">
        <v>607</v>
      </c>
      <c r="O1483" t="s">
        <v>607</v>
      </c>
      <c r="P1483" t="s">
        <v>607</v>
      </c>
      <c r="Q1483" t="s">
        <v>607</v>
      </c>
      <c r="R1483" t="s">
        <v>607</v>
      </c>
      <c r="S1483" t="s">
        <v>607</v>
      </c>
      <c r="T1483" t="s">
        <v>607</v>
      </c>
      <c r="U1483" t="s">
        <v>607</v>
      </c>
      <c r="V1483" t="s">
        <v>607</v>
      </c>
      <c r="W1483" s="17" t="s">
        <v>615</v>
      </c>
      <c r="X1483" s="19">
        <f t="shared" si="18"/>
        <v>0.85</v>
      </c>
    </row>
    <row r="1484" spans="1:24">
      <c r="A1484" s="17" t="s">
        <v>644</v>
      </c>
      <c r="B1484" s="17" t="s">
        <v>644</v>
      </c>
      <c r="C1484" s="17" t="s">
        <v>609</v>
      </c>
      <c r="D1484" s="20" t="s">
        <v>631</v>
      </c>
      <c r="E1484" t="s">
        <v>607</v>
      </c>
      <c r="F1484" t="s">
        <v>607</v>
      </c>
      <c r="G1484" t="s">
        <v>607</v>
      </c>
      <c r="H1484" s="20" t="s">
        <v>628</v>
      </c>
      <c r="I1484" t="s">
        <v>607</v>
      </c>
      <c r="J1484" s="17" t="s">
        <v>630</v>
      </c>
      <c r="K1484" s="5" t="str">
        <f>IF(X1484&lt;=0.9,HYPERLINK("http://www.lxhausys.co.kr/popup/rn/download/downloadPopup.jsp?from=plwindow&amp;uu=/upload/window/REPORT/LGH-TW21-039 S7-290N-488GSGG2A5.pdf","1등급"),IF(X1484&lt;=1.2,HYPERLINK("http://www.lxhausys.co.kr/popup/rn/download/downloadPopup.jsp?from=plwindow&amp;uu=/upload/window/REPORT/LGH-TW21-039 S7-290N-488GSGG2A5.pdf","2등급"),IF(X1484&lt;=1.8,HYPERLINK("http://www.lxhausys.co.kr/popup/rn/download/downloadPopup.jsp?from=plwindow&amp;uu=/upload/window/REPORT/LGH-TW21-039 S7-290N-488GSGG2A5.pdf","3등급"),IF(X1484&lt;=2.3,HYPERLINK("http://www.lxhausys.co.kr/popup/rn/download/downloadPopup.jsp?from=plwindow&amp;uu=/upload/window/REPORT/LGH-TW21-039 S7-290N-488GSGG2A5.pdf","4등급"),IF(X1484&lt;=2.8,HYPERLINK("http://www.lxhausys.co.kr/popup/rn/download/downloadPopup.jsp?from=plwindow&amp;uu=/upload/window/REPORT/LGH-TW21-039 S7-290N-488GSGG2A5.pdf","5등급"),HYPERLINK("http://www.lxhausys.co.kr/popup/rn/download/downloadPopup.jsp?from=plwindow&amp;uu=/upload/window/REPORT/LGH-TW21-039 S7-290N-488GSGG2A5.pdf","등급외"))))))</f>
        <v>2등급</v>
      </c>
      <c r="L1484">
        <v>0.92700000000000005</v>
      </c>
      <c r="M1484" s="17" t="s">
        <v>619</v>
      </c>
      <c r="N1484" t="s">
        <v>607</v>
      </c>
      <c r="O1484" t="s">
        <v>607</v>
      </c>
      <c r="P1484" t="s">
        <v>607</v>
      </c>
      <c r="Q1484" t="s">
        <v>607</v>
      </c>
      <c r="R1484" t="s">
        <v>607</v>
      </c>
      <c r="S1484" t="s">
        <v>607</v>
      </c>
      <c r="T1484" t="s">
        <v>607</v>
      </c>
      <c r="U1484" t="s">
        <v>607</v>
      </c>
      <c r="V1484" t="s">
        <v>607</v>
      </c>
      <c r="W1484" s="17" t="s">
        <v>615</v>
      </c>
      <c r="X1484" s="19">
        <f t="shared" si="18"/>
        <v>0.92700000000000005</v>
      </c>
    </row>
    <row r="1485" spans="1:24">
      <c r="A1485" s="17" t="s">
        <v>644</v>
      </c>
      <c r="B1485" s="17" t="s">
        <v>644</v>
      </c>
      <c r="C1485" s="17" t="s">
        <v>609</v>
      </c>
      <c r="D1485" s="20" t="s">
        <v>645</v>
      </c>
      <c r="E1485" t="s">
        <v>607</v>
      </c>
      <c r="F1485" t="s">
        <v>607</v>
      </c>
      <c r="G1485" t="s">
        <v>607</v>
      </c>
      <c r="H1485" s="20" t="s">
        <v>646</v>
      </c>
      <c r="I1485" t="s">
        <v>607</v>
      </c>
      <c r="J1485" s="17" t="s">
        <v>611</v>
      </c>
      <c r="K1485" s="5" t="str">
        <f>IF(X1485&lt;=0.9,HYPERLINK("http://www.lxhausys.co.kr/popup/rn/download/downloadPopup.jsp?from=plwindow&amp;uu=/upload/window/REPORT/LGH-TW21-047 S7-290N-444GLGL2A5.pdf","1등급"),IF(X1485&lt;=1.2,HYPERLINK("http://www.lxhausys.co.kr/popup/rn/download/downloadPopup.jsp?from=plwindow&amp;uu=/upload/window/REPORT/LGH-TW21-047 S7-290N-444GLGL2A5.pdf","2등급"),IF(X1485&lt;=1.8,HYPERLINK("http://www.lxhausys.co.kr/popup/rn/download/downloadPopup.jsp?from=plwindow&amp;uu=/upload/window/REPORT/LGH-TW21-047 S7-290N-444GLGL2A5.pdf","3등급"),IF(X1485&lt;=2.3,HYPERLINK("http://www.lxhausys.co.kr/popup/rn/download/downloadPopup.jsp?from=plwindow&amp;uu=/upload/window/REPORT/LGH-TW21-047 S7-290N-444GLGL2A5.pdf","4등급"),IF(X1485&lt;=2.8,HYPERLINK("http://www.lxhausys.co.kr/popup/rn/download/downloadPopup.jsp?from=plwindow&amp;uu=/upload/window/REPORT/LGH-TW21-047 S7-290N-444GLGL2A5.pdf","5등급"),HYPERLINK("http://www.lxhausys.co.kr/popup/rn/download/downloadPopup.jsp?from=plwindow&amp;uu=/upload/window/REPORT/LGH-TW21-047 S7-290N-444GLGL2A5.pdf","등급외"))))))</f>
        <v>1등급</v>
      </c>
      <c r="L1485">
        <v>0.76800000000000002</v>
      </c>
      <c r="M1485" s="17" t="s">
        <v>619</v>
      </c>
      <c r="N1485" t="s">
        <v>607</v>
      </c>
      <c r="O1485" t="s">
        <v>607</v>
      </c>
      <c r="P1485" t="s">
        <v>607</v>
      </c>
      <c r="Q1485" t="s">
        <v>607</v>
      </c>
      <c r="R1485" t="s">
        <v>607</v>
      </c>
      <c r="S1485" t="s">
        <v>607</v>
      </c>
      <c r="T1485" t="s">
        <v>607</v>
      </c>
      <c r="U1485" t="s">
        <v>607</v>
      </c>
      <c r="V1485" t="s">
        <v>607</v>
      </c>
      <c r="W1485" s="17" t="s">
        <v>615</v>
      </c>
      <c r="X1485" s="19">
        <f t="shared" si="18"/>
        <v>0.76800000000000002</v>
      </c>
    </row>
    <row r="1486" spans="1:24">
      <c r="A1486" s="17" t="s">
        <v>644</v>
      </c>
      <c r="B1486" s="17" t="s">
        <v>644</v>
      </c>
      <c r="C1486" s="17" t="s">
        <v>609</v>
      </c>
      <c r="D1486" s="20" t="s">
        <v>648</v>
      </c>
      <c r="E1486" t="s">
        <v>607</v>
      </c>
      <c r="F1486" t="s">
        <v>607</v>
      </c>
      <c r="G1486" t="s">
        <v>607</v>
      </c>
      <c r="H1486" s="20" t="s">
        <v>647</v>
      </c>
      <c r="I1486" t="s">
        <v>607</v>
      </c>
      <c r="J1486" s="17" t="s">
        <v>611</v>
      </c>
      <c r="K1486" s="5" t="str">
        <f>IF(X1486&lt;=0.9,HYPERLINK("http://www.lxhausys.co.kr/popup/rn/download/downloadPopup.jsp?from=plwindow&amp;uu=/upload/window/REPORT/LGH-TW21-048 S7-290N-488GLGL2A6.pdf","1등급"),IF(X1486&lt;=1.2,HYPERLINK("http://www.lxhausys.co.kr/popup/rn/download/downloadPopup.jsp?from=plwindow&amp;uu=/upload/window/REPORT/LGH-TW21-048 S7-290N-488GLGL2A6.pdf","2등급"),IF(X1486&lt;=1.8,HYPERLINK("http://www.lxhausys.co.kr/popup/rn/download/downloadPopup.jsp?from=plwindow&amp;uu=/upload/window/REPORT/LGH-TW21-048 S7-290N-488GLGL2A6.pdf","3등급"),IF(X1486&lt;=2.3,HYPERLINK("http://www.lxhausys.co.kr/popup/rn/download/downloadPopup.jsp?from=plwindow&amp;uu=/upload/window/REPORT/LGH-TW21-048 S7-290N-488GLGL2A6.pdf","4등급"),IF(X1486&lt;=2.8,HYPERLINK("http://www.lxhausys.co.kr/popup/rn/download/downloadPopup.jsp?from=plwindow&amp;uu=/upload/window/REPORT/LGH-TW21-048 S7-290N-488GLGL2A6.pdf","5등급"),HYPERLINK("http://www.lxhausys.co.kr/popup/rn/download/downloadPopup.jsp?from=plwindow&amp;uu=/upload/window/REPORT/LGH-TW21-048 S7-290N-488GLGL2A6.pdf","등급외"))))))</f>
        <v>1등급</v>
      </c>
      <c r="L1486">
        <v>0.67400000000000004</v>
      </c>
      <c r="M1486" s="17" t="s">
        <v>619</v>
      </c>
      <c r="N1486" t="s">
        <v>607</v>
      </c>
      <c r="O1486" t="s">
        <v>607</v>
      </c>
      <c r="P1486" t="s">
        <v>607</v>
      </c>
      <c r="Q1486" t="s">
        <v>607</v>
      </c>
      <c r="R1486" t="s">
        <v>607</v>
      </c>
      <c r="S1486" t="s">
        <v>607</v>
      </c>
      <c r="T1486" t="s">
        <v>607</v>
      </c>
      <c r="U1486" t="s">
        <v>607</v>
      </c>
      <c r="V1486" t="s">
        <v>607</v>
      </c>
      <c r="W1486" s="17" t="s">
        <v>615</v>
      </c>
      <c r="X1486" s="19">
        <f t="shared" si="18"/>
        <v>0.67400000000000004</v>
      </c>
    </row>
    <row r="1487" spans="1:24">
      <c r="A1487" s="17" t="s">
        <v>644</v>
      </c>
      <c r="B1487" s="17" t="s">
        <v>644</v>
      </c>
      <c r="C1487" s="17" t="s">
        <v>609</v>
      </c>
      <c r="D1487" s="20" t="s">
        <v>618</v>
      </c>
      <c r="E1487" t="s">
        <v>607</v>
      </c>
      <c r="F1487" t="s">
        <v>607</v>
      </c>
      <c r="G1487" t="s">
        <v>607</v>
      </c>
      <c r="H1487" s="20" t="s">
        <v>620</v>
      </c>
      <c r="I1487" t="s">
        <v>607</v>
      </c>
      <c r="J1487" s="17" t="s">
        <v>622</v>
      </c>
      <c r="K1487" s="5" t="str">
        <f>IF(X1487&lt;=0.9,HYPERLINK("http://www.lxhausys.co.kr/popup/rn/download/downloadPopup.jsp?from=plwindow&amp;uu=/upload/window/REPORT/LGH-TW21-050 S7-290N-444UGGG2A5.pdf","1등급"),IF(X1487&lt;=1.2,HYPERLINK("http://www.lxhausys.co.kr/popup/rn/download/downloadPopup.jsp?from=plwindow&amp;uu=/upload/window/REPORT/LGH-TW21-050 S7-290N-444UGGG2A5.pdf","2등급"),IF(X1487&lt;=1.8,HYPERLINK("http://www.lxhausys.co.kr/popup/rn/download/downloadPopup.jsp?from=plwindow&amp;uu=/upload/window/REPORT/LGH-TW21-050 S7-290N-444UGGG2A5.pdf","3등급"),IF(X1487&lt;=2.3,HYPERLINK("http://www.lxhausys.co.kr/popup/rn/download/downloadPopup.jsp?from=plwindow&amp;uu=/upload/window/REPORT/LGH-TW21-050 S7-290N-444UGGG2A5.pdf","4등급"),IF(X1487&lt;=2.8,HYPERLINK("http://www.lxhausys.co.kr/popup/rn/download/downloadPopup.jsp?from=plwindow&amp;uu=/upload/window/REPORT/LGH-TW21-050 S7-290N-444UGGG2A5.pdf","5등급"),HYPERLINK("http://www.lxhausys.co.kr/popup/rn/download/downloadPopup.jsp?from=plwindow&amp;uu=/upload/window/REPORT/LGH-TW21-050 S7-290N-444UGGG2A5.pdf","등급외"))))))</f>
        <v>1등급</v>
      </c>
      <c r="L1487">
        <v>0.86899999999999999</v>
      </c>
      <c r="M1487" s="17" t="s">
        <v>619</v>
      </c>
      <c r="N1487" t="s">
        <v>607</v>
      </c>
      <c r="O1487" t="s">
        <v>607</v>
      </c>
      <c r="P1487" t="s">
        <v>607</v>
      </c>
      <c r="Q1487" t="s">
        <v>607</v>
      </c>
      <c r="R1487" t="s">
        <v>607</v>
      </c>
      <c r="S1487" t="s">
        <v>607</v>
      </c>
      <c r="T1487" t="s">
        <v>607</v>
      </c>
      <c r="U1487" t="s">
        <v>607</v>
      </c>
      <c r="V1487" t="s">
        <v>607</v>
      </c>
      <c r="W1487" s="17" t="s">
        <v>615</v>
      </c>
      <c r="X1487" s="19">
        <f t="shared" si="18"/>
        <v>0.86899999999999999</v>
      </c>
    </row>
    <row r="1488" spans="1:24">
      <c r="A1488" s="17" t="s">
        <v>649</v>
      </c>
      <c r="B1488" s="17" t="s">
        <v>649</v>
      </c>
      <c r="C1488" s="17" t="s">
        <v>609</v>
      </c>
      <c r="D1488" s="20" t="s">
        <v>25</v>
      </c>
      <c r="E1488" t="s">
        <v>607</v>
      </c>
      <c r="F1488" t="s">
        <v>607</v>
      </c>
      <c r="G1488" t="s">
        <v>607</v>
      </c>
      <c r="H1488" s="20" t="s">
        <v>661</v>
      </c>
      <c r="I1488" t="s">
        <v>607</v>
      </c>
      <c r="J1488" s="17" t="s">
        <v>622</v>
      </c>
      <c r="K1488" s="26" t="str">
        <f>IF(X1488&lt;=0.9,HYPERLINK("http://www.lxhausys.co.kr/popup/rn/download/downloadPopup.jsp?from=plwindow&amp;uu=/upload/window/REPORT/LGH-TW21-001 B140B5-222FFGG1A5.pdf","1등급"),IF(X2&lt;=1.2,HYPERLINK("http://www.lxhausys.co.kr/popup/rn/download/downloadPopup.jsp?from=plwindow&amp;uu=/upload/window/REPORT/LGH-TW21-001 B140B5-222FFGG1A5.pdf","2등급"),IF(X2&lt;=1.8,HYPERLINK("http://www.lxhausys.co.kr/popup/rn/download/downloadPopup.jsp?from=plwindow&amp;uu=/upload/window/REPORT/LGH-TW21-001 B140B5-222FFGG1A5.pdf","3등급"),IF(X2&lt;=2.3,HYPERLINK("http://www.lxhausys.co.kr/popup/rn/download/downloadPopup.jsp?from=plwindow&amp;uu=/upload/window/REPORT/LGH-TW21-001 B140B5-222FFGG1A5.pdf","4등급"),IF(X2&lt;=2.8,HYPERLINK("http://www.lxhausys.co.kr/popup/rn/download/downloadPopup.jsp?from=plwindow&amp;uu=/upload/window/REPORT/LGH-TW21-001 B140B5-222FFGG1A5.pdf","5등급"),HYPERLINK("http://www.lxhausys.co.kr/popup/rn/download/downloadPopup.jsp?from=plwindow&amp;uu=/upload/window/REPORT/LGH-TW21-001 B140B5-222FFGG1A5.pdf","등급외"))))))</f>
        <v>4등급</v>
      </c>
      <c r="L1488">
        <v>2.7250000000000001</v>
      </c>
      <c r="M1488" t="s">
        <v>103</v>
      </c>
      <c r="N1488" t="s">
        <v>607</v>
      </c>
      <c r="O1488" t="s">
        <v>607</v>
      </c>
      <c r="P1488" t="s">
        <v>607</v>
      </c>
      <c r="Q1488" t="s">
        <v>607</v>
      </c>
      <c r="R1488" t="s">
        <v>607</v>
      </c>
      <c r="S1488" t="s">
        <v>607</v>
      </c>
      <c r="T1488" t="s">
        <v>607</v>
      </c>
      <c r="U1488" t="s">
        <v>607</v>
      </c>
      <c r="V1488" t="s">
        <v>607</v>
      </c>
      <c r="W1488" s="17" t="s">
        <v>659</v>
      </c>
      <c r="X1488" s="19">
        <f t="shared" si="18"/>
        <v>2.7250000000000001</v>
      </c>
    </row>
    <row r="1489" spans="1:24">
      <c r="A1489" s="17" t="s">
        <v>649</v>
      </c>
      <c r="B1489" s="17" t="s">
        <v>649</v>
      </c>
      <c r="C1489" s="17" t="s">
        <v>609</v>
      </c>
      <c r="D1489" t="s">
        <v>536</v>
      </c>
      <c r="E1489" t="s">
        <v>607</v>
      </c>
      <c r="F1489" t="s">
        <v>607</v>
      </c>
      <c r="G1489" t="s">
        <v>607</v>
      </c>
      <c r="H1489" s="20" t="s">
        <v>661</v>
      </c>
      <c r="I1489" t="s">
        <v>607</v>
      </c>
      <c r="J1489" s="17" t="s">
        <v>622</v>
      </c>
      <c r="K1489" s="26" t="str">
        <f>IF(X1489&lt;=0.9,HYPERLINK("http://www.lxhausys.co.kr/popup/rn/download/downloadPopup.jsp?from=plwindow&amp;uu=/upload/window/REPORT/LGH-TW21-002 B140B5-222FFGL1A5.pdf","1등급"),IF(X2&lt;=1.2,HYPERLINK("http://www.lxhausys.co.kr/popup/rn/download/downloadPopup.jsp?from=plwindow&amp;uu=/upload/window/REPORT/LGH-TW21-002 B140B5-222FFGL1A5.pdf","2등급"),IF(X2&lt;=1.8,HYPERLINK("http://www.lxhausys.co.kr/popup/rn/download/downloadPopup.jsp?from=plwindow&amp;uu=/upload/window/REPORT/LGH-TW21-002 B140B5-222FFGL1A5.pdf","3등급"),IF(X2&lt;=2.3,HYPERLINK("http://www.lxhausys.co.kr/popup/rn/download/downloadPopup.jsp?from=plwindow&amp;uu=/upload/window/REPORT/LGH-TW21-002 B140B5-222FFGL1A5.pdf","4등급"),IF(X2&lt;=2.8,HYPERLINK("http://www.lxhausys.co.kr/popup/rn/download/downloadPopup.jsp?from=plwindow&amp;uu=/upload/window/REPORT/LGH-TW21-002 B140B5-222FFGL1A5.pdf","5등급"),HYPERLINK("http://www.lxhausys.co.kr/popup/rn/download/downloadPopup.jsp?from=plwindow&amp;uu=/upload/window/REPORT/LGH-TW21-002 B140B5-222FFGL1A5.pdf","등급외"))))))</f>
        <v>4등급</v>
      </c>
      <c r="L1489">
        <v>2.0830000000000002</v>
      </c>
      <c r="M1489" t="s">
        <v>103</v>
      </c>
      <c r="N1489" t="s">
        <v>607</v>
      </c>
      <c r="O1489" t="s">
        <v>607</v>
      </c>
      <c r="P1489" t="s">
        <v>607</v>
      </c>
      <c r="Q1489" t="s">
        <v>607</v>
      </c>
      <c r="R1489" t="s">
        <v>607</v>
      </c>
      <c r="S1489" t="s">
        <v>607</v>
      </c>
      <c r="T1489" t="s">
        <v>607</v>
      </c>
      <c r="U1489" t="s">
        <v>607</v>
      </c>
      <c r="V1489" t="s">
        <v>607</v>
      </c>
      <c r="W1489" s="17" t="s">
        <v>660</v>
      </c>
      <c r="X1489" s="19">
        <f t="shared" si="18"/>
        <v>2.0830000000000002</v>
      </c>
    </row>
    <row r="1490" spans="1:24">
      <c r="A1490" s="17" t="s">
        <v>649</v>
      </c>
      <c r="B1490" s="17" t="s">
        <v>649</v>
      </c>
      <c r="C1490" s="17" t="s">
        <v>609</v>
      </c>
      <c r="D1490" t="s">
        <v>68</v>
      </c>
      <c r="E1490" t="s">
        <v>607</v>
      </c>
      <c r="F1490" t="s">
        <v>607</v>
      </c>
      <c r="G1490" t="s">
        <v>607</v>
      </c>
      <c r="H1490" s="20" t="s">
        <v>661</v>
      </c>
      <c r="I1490" t="s">
        <v>607</v>
      </c>
      <c r="J1490" t="s">
        <v>74</v>
      </c>
      <c r="K1490" s="26" t="str">
        <f>IF(X1490&lt;=0.9,HYPERLINK("http://www.lxhausys.co.kr/popup/rn/download/downloadPopup.jsp?from=plwindow&amp;uu=/upload/window/REPORT/LGH-TW21-003 B140B5-224FFGG1A5.pdf","1등급"),IF(X2&lt;=1.2,HYPERLINK("http://www.lxhausys.co.kr/popup/rn/download/downloadPopup.jsp?from=plwindow&amp;uu=/upload/window/REPORT/LGH-TW21-003 B140B5-224FFGG1A5.pdf","2등급"),IF(X2&lt;=1.8,HYPERLINK("http://www.lxhausys.co.kr/popup/rn/download/downloadPopup.jsp?from=plwindow&amp;uu=/upload/window/REPORT/LGH-TW21-003 B140B5-224FFGG1A5.pdf","3등급"),IF(X2&lt;=2.3,HYPERLINK("http://www.lxhausys.co.kr/popup/rn/download/downloadPopup.jsp?from=plwindow&amp;uu=/upload/window/REPORT/LGH-TW21-003 B140B5-224FFGG1A5.pdf","4등급"),IF(X2&lt;=2.8,HYPERLINK("http://www.lxhausys.co.kr/popup/rn/download/downloadPopup.jsp?from=plwindow&amp;uu=/upload/window/REPORT/LGH-TW21-003 B140B5-224FFGG1A5.pdf","5등급"),HYPERLINK("http://www.lxhausys.co.kr/popup/rn/download/downloadPopup.jsp?from=plwindow&amp;uu=/upload/window/REPORT/LGH-TW21-003 B140B5-224FFGG1A5.pdf","등급외"))))))</f>
        <v>4등급</v>
      </c>
      <c r="L1490">
        <v>2.71</v>
      </c>
      <c r="M1490" t="s">
        <v>103</v>
      </c>
      <c r="N1490" t="s">
        <v>607</v>
      </c>
      <c r="O1490" t="s">
        <v>607</v>
      </c>
      <c r="P1490" t="s">
        <v>607</v>
      </c>
      <c r="Q1490" t="s">
        <v>607</v>
      </c>
      <c r="R1490" t="s">
        <v>607</v>
      </c>
      <c r="S1490" t="s">
        <v>607</v>
      </c>
      <c r="T1490" t="s">
        <v>607</v>
      </c>
      <c r="U1490" t="s">
        <v>607</v>
      </c>
      <c r="V1490" t="s">
        <v>607</v>
      </c>
      <c r="W1490" s="17" t="s">
        <v>660</v>
      </c>
      <c r="X1490" s="19">
        <f t="shared" si="18"/>
        <v>2.71</v>
      </c>
    </row>
    <row r="1491" spans="1:24">
      <c r="A1491" s="17" t="s">
        <v>649</v>
      </c>
      <c r="B1491" s="17" t="s">
        <v>649</v>
      </c>
      <c r="C1491" s="17" t="s">
        <v>609</v>
      </c>
      <c r="D1491" t="s">
        <v>539</v>
      </c>
      <c r="E1491" t="s">
        <v>607</v>
      </c>
      <c r="F1491" t="s">
        <v>607</v>
      </c>
      <c r="G1491" t="s">
        <v>607</v>
      </c>
      <c r="H1491" s="20" t="s">
        <v>661</v>
      </c>
      <c r="I1491" t="s">
        <v>607</v>
      </c>
      <c r="J1491" t="s">
        <v>74</v>
      </c>
      <c r="K1491" s="26" t="str">
        <f>IF(X1491&lt;=0.9,HYPERLINK("http://www.lxhausys.co.kr/popup/rn/download/downloadPopup.jsp?from=plwindow&amp;uu=/upload/window/REPORT/LGH-TW21-004 B140B5-224FFGL1A5.pdf","1등급"),IF(X2&lt;=1.2,HYPERLINK("http://www.lxhausys.co.kr/popup/rn/download/downloadPopup.jsp?from=plwindow&amp;uu=/upload/window/REPORT/LGH-TW21-004 B140B5-224FFGL1A5.pdf","2등급"),IF(X2&lt;=1.8,HYPERLINK("http://www.lxhausys.co.kr/popup/rn/download/downloadPopup.jsp?from=plwindow&amp;uu=/upload/window/REPORT/LGH-TW21-004 B140B5-224FFGL1A5.pdf","3등급"),IF(X2&lt;=2.3,HYPERLINK("http://www.lxhausys.co.kr/popup/rn/download/downloadPopup.jsp?from=plwindow&amp;uu=/upload/window/REPORT/LGH-TW21-004 B140B5-224FFGL1A5.pdf","4등급"),IF(X2&lt;=2.8,HYPERLINK("http://www.lxhausys.co.kr/popup/rn/download/downloadPopup.jsp?from=plwindow&amp;uu=/upload/window/REPORT/LGH-TW21-004 B140B5-224FFGL1A5.pdf","5등급"),HYPERLINK("http://www.lxhausys.co.kr/popup/rn/download/downloadPopup.jsp?from=plwindow&amp;uu=/upload/window/REPORT/LGH-TW21-004 B140B5-224FFGL1A5.pdf","등급외"))))))</f>
        <v>4등급</v>
      </c>
      <c r="L1491">
        <v>1.992</v>
      </c>
      <c r="M1491" t="s">
        <v>103</v>
      </c>
      <c r="N1491" t="s">
        <v>607</v>
      </c>
      <c r="O1491" t="s">
        <v>607</v>
      </c>
      <c r="P1491" t="s">
        <v>607</v>
      </c>
      <c r="Q1491" t="s">
        <v>607</v>
      </c>
      <c r="R1491" t="s">
        <v>607</v>
      </c>
      <c r="S1491" t="s">
        <v>607</v>
      </c>
      <c r="T1491" t="s">
        <v>607</v>
      </c>
      <c r="U1491" t="s">
        <v>607</v>
      </c>
      <c r="V1491" t="s">
        <v>607</v>
      </c>
      <c r="W1491" s="17" t="s">
        <v>660</v>
      </c>
      <c r="X1491" s="19">
        <f t="shared" si="18"/>
        <v>1.992</v>
      </c>
    </row>
    <row r="1492" spans="1:24">
      <c r="A1492" s="17" t="s">
        <v>650</v>
      </c>
      <c r="B1492" s="17" t="s">
        <v>650</v>
      </c>
      <c r="C1492" s="17" t="s">
        <v>609</v>
      </c>
      <c r="D1492" t="s">
        <v>28</v>
      </c>
      <c r="E1492" t="s">
        <v>607</v>
      </c>
      <c r="F1492" t="s">
        <v>607</v>
      </c>
      <c r="G1492" t="s">
        <v>607</v>
      </c>
      <c r="H1492" t="s">
        <v>28</v>
      </c>
      <c r="I1492" t="s">
        <v>607</v>
      </c>
      <c r="J1492" t="s">
        <v>74</v>
      </c>
      <c r="K1492" s="26" t="str">
        <f>IF(X1492&lt;=0.9,HYPERLINK("http://www.lxhausys.co.kr/popup/rn/download/downloadPopup.jsp?from=plwindow&amp;uu=/upload/window/REPORT/LGH-TW21-044 D235BS-422GLGL2A5.pdf","1등급"),IF(X2&lt;=1.2,HYPERLINK("http://www.lxhausys.co.kr/popup/rn/download/downloadPopup.jsp?from=plwindow&amp;uu=/upload/window/REPORT/LGH-TW21-044 D235BS-422GLGL2A5.pdf","2등급"),IF(X2&lt;=1.8,HYPERLINK("http://www.lxhausys.co.kr/popup/rn/download/downloadPopup.jsp?from=plwindow&amp;uu=/upload/window/REPORT/LGH-TW21-044 D235BS-422GLGL2A5.pdf","3등급"),IF(X2&lt;=2.3,HYPERLINK("http://www.lxhausys.co.kr/popup/rn/download/downloadPopup.jsp?from=plwindow&amp;uu=/upload/window/REPORT/LGH-TW21-044 D235BS-422GLGL2A5.pdf","4등급"),IF(X2&lt;=2.8,HYPERLINK("http://www.lxhausys.co.kr/popup/rn/download/downloadPopup.jsp?from=plwindow&amp;uu=/upload/window/REPORT/LGH-TW21-044 D235BS-422GLGL2A5.pdf","5등급"),HYPERLINK("http://www.lxhausys.co.kr/popup/rn/download/downloadPopup.jsp?from=plwindow&amp;uu=/upload/window/REPORT/LGH-TW21-044 D235BS-422GLGL2A5.pdf","등급외"))))))</f>
        <v>1등급</v>
      </c>
      <c r="L1492">
        <v>0.88800000000000001</v>
      </c>
      <c r="M1492" t="s">
        <v>22</v>
      </c>
      <c r="N1492" t="s">
        <v>607</v>
      </c>
      <c r="O1492" t="s">
        <v>607</v>
      </c>
      <c r="P1492" t="s">
        <v>607</v>
      </c>
      <c r="Q1492" t="s">
        <v>607</v>
      </c>
      <c r="R1492" t="s">
        <v>607</v>
      </c>
      <c r="S1492" t="s">
        <v>607</v>
      </c>
      <c r="T1492" t="s">
        <v>607</v>
      </c>
      <c r="U1492" t="s">
        <v>607</v>
      </c>
      <c r="V1492" t="s">
        <v>607</v>
      </c>
      <c r="W1492" s="17" t="s">
        <v>660</v>
      </c>
      <c r="X1492" s="19">
        <f t="shared" si="18"/>
        <v>0.88800000000000001</v>
      </c>
    </row>
    <row r="1493" spans="1:24">
      <c r="A1493" s="17" t="s">
        <v>651</v>
      </c>
      <c r="B1493" s="17" t="s">
        <v>651</v>
      </c>
      <c r="C1493" s="17" t="s">
        <v>609</v>
      </c>
      <c r="D1493" t="s">
        <v>25</v>
      </c>
      <c r="E1493" t="s">
        <v>607</v>
      </c>
      <c r="F1493" t="s">
        <v>607</v>
      </c>
      <c r="G1493" t="s">
        <v>607</v>
      </c>
      <c r="H1493" t="s">
        <v>25</v>
      </c>
      <c r="I1493" t="s">
        <v>607</v>
      </c>
      <c r="J1493" t="s">
        <v>74</v>
      </c>
      <c r="K1493" s="26" t="str">
        <f>IF(X1493&lt;=0.9,HYPERLINK("http://www.lxhausys.co.kr/popup/rn/download/downloadPopup.jsp?from=plwindow&amp;uu=/upload/window/REPORT/LGH-TW21-030 D250B5-422GGGG2A5.pdf","1등급"),IF(X2&lt;=1.2,HYPERLINK("http://www.lxhausys.co.kr/popup/rn/download/downloadPopup.jsp?from=plwindow&amp;uu=/upload/window/REPORT/LGH-TW21-030 D250B5-422GGGG2A5.pdf","2등급"),IF(X2&lt;=1.8,HYPERLINK("http://www.lxhausys.co.kr/popup/rn/download/downloadPopup.jsp?from=plwindow&amp;uu=/upload/window/REPORT/LGH-TW21-030 D250B5-422GGGG2A5.pdf","3등급"),IF(X2&lt;=2.3,HYPERLINK("http://www.lxhausys.co.kr/popup/rn/download/downloadPopup.jsp?from=plwindow&amp;uu=/upload/window/REPORT/LGH-TW21-030 D250B5-422GGGG2A5.pdf","4등급"),IF(X2&lt;=2.8,HYPERLINK("http://www.lxhausys.co.kr/popup/rn/download/downloadPopup.jsp?from=plwindow&amp;uu=/upload/window/REPORT/LGH-TW21-030 D250B5-422GGGG2A5.pdf","5등급"),HYPERLINK("http://www.lxhausys.co.kr/popup/rn/download/downloadPopup.jsp?from=plwindow&amp;uu=/upload/window/REPORT/LGH-TW21-030 D250B5-422GGGG2A5.pdf","등급외"))))))</f>
        <v>4등급</v>
      </c>
      <c r="L1493">
        <v>1.302</v>
      </c>
      <c r="M1493" t="s">
        <v>22</v>
      </c>
      <c r="N1493" t="s">
        <v>607</v>
      </c>
      <c r="O1493" t="s">
        <v>607</v>
      </c>
      <c r="P1493" t="s">
        <v>607</v>
      </c>
      <c r="Q1493" t="s">
        <v>607</v>
      </c>
      <c r="R1493" t="s">
        <v>607</v>
      </c>
      <c r="S1493" t="s">
        <v>607</v>
      </c>
      <c r="T1493" t="s">
        <v>607</v>
      </c>
      <c r="U1493" t="s">
        <v>607</v>
      </c>
      <c r="V1493" t="s">
        <v>607</v>
      </c>
      <c r="W1493" s="17" t="s">
        <v>660</v>
      </c>
      <c r="X1493" s="19">
        <f t="shared" si="18"/>
        <v>1.302</v>
      </c>
    </row>
    <row r="1494" spans="1:24">
      <c r="A1494" s="17" t="s">
        <v>651</v>
      </c>
      <c r="B1494" s="17" t="s">
        <v>651</v>
      </c>
      <c r="C1494" s="17" t="s">
        <v>609</v>
      </c>
      <c r="D1494" t="s">
        <v>25</v>
      </c>
      <c r="E1494" t="s">
        <v>607</v>
      </c>
      <c r="F1494" t="s">
        <v>607</v>
      </c>
      <c r="G1494" t="s">
        <v>607</v>
      </c>
      <c r="H1494" t="s">
        <v>536</v>
      </c>
      <c r="I1494" t="s">
        <v>607</v>
      </c>
      <c r="J1494" t="s">
        <v>74</v>
      </c>
      <c r="K1494" s="26" t="str">
        <f>IF(X1494&lt;=0.9,HYPERLINK("http://www.lxhausys.co.kr/popup/rn/download/downloadPopup.jsp?from=plwindow&amp;uu=/upload/window/REPORT/LGH-TW21-031 D250B5-422GGGL2A5.pdf","1등급"),IF(X2&lt;=1.2,HYPERLINK("http://www.lxhausys.co.kr/popup/rn/download/downloadPopup.jsp?from=plwindow&amp;uu=/upload/window/REPORT/LGH-TW21-031 D250B5-422GGGL2A5.pdf","2등급"),IF(X2&lt;=1.8,HYPERLINK("http://www.lxhausys.co.kr/popup/rn/download/downloadPopup.jsp?from=plwindow&amp;uu=/upload/window/REPORT/LGH-TW21-031 D250B5-422GGGL2A5.pdf","3등급"),IF(X2&lt;=2.3,HYPERLINK("http://www.lxhausys.co.kr/popup/rn/download/downloadPopup.jsp?from=plwindow&amp;uu=/upload/window/REPORT/LGH-TW21-031 D250B5-422GGGL2A5.pdf","4등급"),IF(X2&lt;=2.8,HYPERLINK("http://www.lxhausys.co.kr/popup/rn/download/downloadPopup.jsp?from=plwindow&amp;uu=/upload/window/REPORT/LGH-TW21-031 D250B5-422GGGL2A5.pdf","5등급"),HYPERLINK("http://www.lxhausys.co.kr/popup/rn/download/downloadPopup.jsp?from=plwindow&amp;uu=/upload/window/REPORT/LGH-TW21-031 D250B5-422GGGL2A5.pdf","등급외"))))))</f>
        <v>4등급</v>
      </c>
      <c r="L1494">
        <v>1.0409999999999999</v>
      </c>
      <c r="M1494" t="s">
        <v>22</v>
      </c>
      <c r="N1494" t="s">
        <v>607</v>
      </c>
      <c r="O1494" t="s">
        <v>607</v>
      </c>
      <c r="P1494" t="s">
        <v>607</v>
      </c>
      <c r="Q1494" t="s">
        <v>607</v>
      </c>
      <c r="R1494" t="s">
        <v>607</v>
      </c>
      <c r="S1494" t="s">
        <v>607</v>
      </c>
      <c r="T1494" t="s">
        <v>607</v>
      </c>
      <c r="U1494" t="s">
        <v>607</v>
      </c>
      <c r="V1494" t="s">
        <v>607</v>
      </c>
      <c r="W1494" s="17" t="s">
        <v>660</v>
      </c>
      <c r="X1494" s="19">
        <f t="shared" si="18"/>
        <v>1.0409999999999999</v>
      </c>
    </row>
    <row r="1495" spans="1:24">
      <c r="A1495" s="17" t="s">
        <v>651</v>
      </c>
      <c r="B1495" s="17" t="s">
        <v>651</v>
      </c>
      <c r="C1495" s="17" t="s">
        <v>609</v>
      </c>
      <c r="D1495" t="s">
        <v>68</v>
      </c>
      <c r="E1495" t="s">
        <v>607</v>
      </c>
      <c r="F1495" t="s">
        <v>607</v>
      </c>
      <c r="G1495" t="s">
        <v>607</v>
      </c>
      <c r="H1495" t="s">
        <v>68</v>
      </c>
      <c r="I1495" t="s">
        <v>607</v>
      </c>
      <c r="J1495" t="s">
        <v>74</v>
      </c>
      <c r="K1495" s="26" t="str">
        <f>IF(X1495&lt;=0.9,HYPERLINK("http://www.lxhausys.co.kr/popup/rn/download/downloadPopup.jsp?from=plwindow&amp;uu=/upload/window/REPORT/LGH-TW21-032 D250B5-444GGGG2A5.pdf","1등급"),IF(X2&lt;=1.2,HYPERLINK("http://www.lxhausys.co.kr/popup/rn/download/downloadPopup.jsp?from=plwindow&amp;uu=/upload/window/REPORT/LGH-TW21-032 D250B5-444GGGG2A5.pdf","2등급"),IF(X2&lt;=1.8,HYPERLINK("http://www.lxhausys.co.kr/popup/rn/download/downloadPopup.jsp?from=plwindow&amp;uu=/upload/window/REPORT/LGH-TW21-032 D250B5-444GGGG2A5.pdf","3등급"),IF(X2&lt;=2.3,HYPERLINK("http://www.lxhausys.co.kr/popup/rn/download/downloadPopup.jsp?from=plwindow&amp;uu=/upload/window/REPORT/LGH-TW21-032 D250B5-444GGGG2A5.pdf","4등급"),IF(X2&lt;=2.8,HYPERLINK("http://www.lxhausys.co.kr/popup/rn/download/downloadPopup.jsp?from=plwindow&amp;uu=/upload/window/REPORT/LGH-TW21-032 D250B5-444GGGG2A5.pdf","5등급"),HYPERLINK("http://www.lxhausys.co.kr/popup/rn/download/downloadPopup.jsp?from=plwindow&amp;uu=/upload/window/REPORT/LGH-TW21-032 D250B5-444GGGG2A5.pdf","등급외"))))))</f>
        <v>4등급</v>
      </c>
      <c r="L1495">
        <v>1.284</v>
      </c>
      <c r="M1495" t="s">
        <v>22</v>
      </c>
      <c r="N1495" t="s">
        <v>607</v>
      </c>
      <c r="O1495" t="s">
        <v>607</v>
      </c>
      <c r="P1495" t="s">
        <v>607</v>
      </c>
      <c r="Q1495" t="s">
        <v>607</v>
      </c>
      <c r="R1495" t="s">
        <v>607</v>
      </c>
      <c r="S1495" t="s">
        <v>607</v>
      </c>
      <c r="T1495" t="s">
        <v>607</v>
      </c>
      <c r="U1495" t="s">
        <v>607</v>
      </c>
      <c r="V1495" t="s">
        <v>607</v>
      </c>
      <c r="W1495" t="s">
        <v>659</v>
      </c>
      <c r="X1495" s="19">
        <f t="shared" si="18"/>
        <v>1.284</v>
      </c>
    </row>
    <row r="1496" spans="1:24">
      <c r="A1496" s="17" t="s">
        <v>651</v>
      </c>
      <c r="B1496" s="17" t="s">
        <v>651</v>
      </c>
      <c r="C1496" s="17" t="s">
        <v>609</v>
      </c>
      <c r="D1496" t="s">
        <v>68</v>
      </c>
      <c r="E1496" t="s">
        <v>607</v>
      </c>
      <c r="F1496" t="s">
        <v>607</v>
      </c>
      <c r="G1496" t="s">
        <v>607</v>
      </c>
      <c r="H1496" t="s">
        <v>583</v>
      </c>
      <c r="I1496" t="s">
        <v>607</v>
      </c>
      <c r="J1496" t="s">
        <v>74</v>
      </c>
      <c r="K1496" s="26" t="str">
        <f>IF(X1496&lt;=0.9,HYPERLINK("http://www.lxhausys.co.kr/popup/rn/download/downloadPopup.jsp?from=plwindow&amp;uu=/upload/window/REPORT/LGH-TW21-033 D250B5-444GGGL2A5.pdf","1등급"),IF(X2&lt;=1.2,HYPERLINK("http://www.lxhausys.co.kr/popup/rn/download/downloadPopup.jsp?from=plwindow&amp;uu=/upload/window/REPORT/LGH-TW21-033 D250B5-444GGGL2A5.pdf","2등급"),IF(X2&lt;=1.8,HYPERLINK("http://www.lxhausys.co.kr/popup/rn/download/downloadPopup.jsp?from=plwindow&amp;uu=/upload/window/REPORT/LGH-TW21-033 D250B5-444GGGL2A5.pdf","3등급"),IF(X2&lt;=2.3,HYPERLINK("http://www.lxhausys.co.kr/popup/rn/download/downloadPopup.jsp?from=plwindow&amp;uu=/upload/window/REPORT/LGH-TW21-033 D250B5-444GGGL2A5.pdf","4등급"),IF(X2&lt;=2.8,HYPERLINK("http://www.lxhausys.co.kr/popup/rn/download/downloadPopup.jsp?from=plwindow&amp;uu=/upload/window/REPORT/LGH-TW21-033 D250B5-444GGGL2A5.pdf","5등급"),HYPERLINK("http://www.lxhausys.co.kr/popup/rn/download/downloadPopup.jsp?from=plwindow&amp;uu=/upload/window/REPORT/LGH-TW21-033 D250B5-444GGGL2A5.pdf","등급외"))))))</f>
        <v>4등급</v>
      </c>
      <c r="L1496">
        <v>0.98199999999999998</v>
      </c>
      <c r="M1496" t="s">
        <v>22</v>
      </c>
      <c r="N1496" t="s">
        <v>607</v>
      </c>
      <c r="O1496" t="s">
        <v>607</v>
      </c>
      <c r="P1496" t="s">
        <v>607</v>
      </c>
      <c r="Q1496" t="s">
        <v>607</v>
      </c>
      <c r="R1496" t="s">
        <v>607</v>
      </c>
      <c r="S1496" t="s">
        <v>607</v>
      </c>
      <c r="T1496" t="s">
        <v>607</v>
      </c>
      <c r="U1496" t="s">
        <v>607</v>
      </c>
      <c r="V1496" t="s">
        <v>607</v>
      </c>
      <c r="W1496" t="s">
        <v>659</v>
      </c>
      <c r="X1496" s="19">
        <f t="shared" si="18"/>
        <v>0.98199999999999998</v>
      </c>
    </row>
    <row r="1497" spans="1:24">
      <c r="A1497" s="17" t="s">
        <v>652</v>
      </c>
      <c r="B1497" s="17" t="s">
        <v>652</v>
      </c>
      <c r="C1497" s="17" t="s">
        <v>609</v>
      </c>
      <c r="D1497" t="s">
        <v>28</v>
      </c>
      <c r="E1497" t="s">
        <v>607</v>
      </c>
      <c r="F1497" t="s">
        <v>607</v>
      </c>
      <c r="G1497" t="s">
        <v>607</v>
      </c>
      <c r="H1497" t="s">
        <v>28</v>
      </c>
      <c r="I1497" t="s">
        <v>607</v>
      </c>
      <c r="J1497" t="s">
        <v>74</v>
      </c>
      <c r="K1497" s="26" t="str">
        <f>IF(X1497&lt;=0.9,HYPERLINK("http://www.lxhausys.co.kr/popup/rn/download/downloadPopup.jsp?from=plwindow&amp;uu=/upload/window/REPORT/LGH-TW21-045 D250BS-422GLGL2A5.pdf","1등급"),IF(X2&lt;=1.2,HYPERLINK("http://www.lxhausys.co.kr/popup/rn/download/downloadPopup.jsp?from=plwindow&amp;uu=/upload/window/REPORT/LGH-TW21-045 D250BS-422GLGL2A5.pdf","2등급"),IF(X2&lt;=1.8,HYPERLINK("http://www.lxhausys.co.kr/popup/rn/download/downloadPopup.jsp?from=plwindow&amp;uu=/upload/window/REPORT/LGH-TW21-045 D250BS-422GLGL2A5.pdf","3등급"),IF(X2&lt;=2.3,HYPERLINK("http://www.lxhausys.co.kr/popup/rn/download/downloadPopup.jsp?from=plwindow&amp;uu=/upload/window/REPORT/LGH-TW21-045 D250BS-422GLGL2A5.pdf","4등급"),IF(X2&lt;=2.8,HYPERLINK("http://www.lxhausys.co.kr/popup/rn/download/downloadPopup.jsp?from=plwindow&amp;uu=/upload/window/REPORT/LGH-TW21-045 D250BS-422GLGL2A5.pdf","5등급"),HYPERLINK("http://www.lxhausys.co.kr/popup/rn/download/downloadPopup.jsp?from=plwindow&amp;uu=/upload/window/REPORT/LGH-TW21-045 D250BS-422GLGL2A5.pdf","등급외"))))))</f>
        <v>1등급</v>
      </c>
      <c r="L1497">
        <v>0.88300000000000001</v>
      </c>
      <c r="M1497" t="s">
        <v>22</v>
      </c>
      <c r="N1497" t="s">
        <v>607</v>
      </c>
      <c r="O1497" t="s">
        <v>607</v>
      </c>
      <c r="P1497" t="s">
        <v>607</v>
      </c>
      <c r="Q1497" t="s">
        <v>607</v>
      </c>
      <c r="R1497" t="s">
        <v>607</v>
      </c>
      <c r="S1497" t="s">
        <v>607</v>
      </c>
      <c r="T1497" t="s">
        <v>607</v>
      </c>
      <c r="U1497" t="s">
        <v>607</v>
      </c>
      <c r="V1497" t="s">
        <v>607</v>
      </c>
      <c r="W1497" t="s">
        <v>659</v>
      </c>
      <c r="X1497" s="19">
        <f t="shared" si="18"/>
        <v>0.88300000000000001</v>
      </c>
    </row>
    <row r="1498" spans="1:24">
      <c r="A1498" s="17" t="s">
        <v>653</v>
      </c>
      <c r="B1498" s="17" t="s">
        <v>653</v>
      </c>
      <c r="C1498" s="17" t="s">
        <v>609</v>
      </c>
      <c r="D1498" s="17" t="s">
        <v>667</v>
      </c>
      <c r="E1498" t="s">
        <v>607</v>
      </c>
      <c r="F1498" t="s">
        <v>607</v>
      </c>
      <c r="G1498" t="s">
        <v>607</v>
      </c>
      <c r="H1498" t="s">
        <v>661</v>
      </c>
      <c r="I1498" t="s">
        <v>607</v>
      </c>
      <c r="J1498" t="s">
        <v>74</v>
      </c>
      <c r="K1498" s="26" t="str">
        <f>IF(X1498&lt;=0.9,HYPERLINK("http://www.lxhausys.co.kr/popup/rn/download/downloadPopup.jsp?from=plwindow&amp;uu=/upload/window/REPORT/LXH-TW22-033 B140B5S-222FFGL1A5.pdf","1등급"),IF(X2&lt;=1.2,HYPERLINK("http://www.lxhausys.co.kr/popup/rn/download/downloadPopup.jsp?from=plwindow&amp;uu=/upload/window/REPORT/LXH-TW22-033 B140B5S-222FFGL1A5.pdf","2등급"),IF(X2&lt;=1.8,HYPERLINK("http://www.lxhausys.co.kr/popup/rn/download/downloadPopup.jsp?from=plwindow&amp;uu=/upload/window/REPORT/LXH-TW22-033 B140B5S-222FFGL1A5.pdf","3등급"),IF(X2&lt;=2.3,HYPERLINK("http://www.lxhausys.co.kr/popup/rn/download/downloadPopup.jsp?from=plwindow&amp;uu=/upload/window/REPORT/LXH-TW22-033 B140B5S-222FFGL1A5.pdf","4등급"),IF(X2&lt;=2.8,HYPERLINK("http://www.lxhausys.co.kr/popup/rn/download/downloadPopup.jsp?from=plwindow&amp;uu=/upload/window/REPORT/LXH-TW22-033 B140B5S-222FFGL1A5.pdf","5등급"),HYPERLINK("http://www.lxhausys.co.kr/popup/rn/download/downloadPopup.jsp?from=plwindow&amp;uu=/upload/window/REPORT/LXH-TW22-033 B140B5S-222FFGL1A5.pdf","등급외"))))))</f>
        <v>4등급</v>
      </c>
      <c r="L1498">
        <v>2.16</v>
      </c>
      <c r="M1498" t="s">
        <v>103</v>
      </c>
      <c r="N1498" t="s">
        <v>607</v>
      </c>
      <c r="O1498" t="s">
        <v>607</v>
      </c>
      <c r="P1498" t="s">
        <v>607</v>
      </c>
      <c r="Q1498" t="s">
        <v>607</v>
      </c>
      <c r="R1498" t="s">
        <v>607</v>
      </c>
      <c r="S1498" t="s">
        <v>607</v>
      </c>
      <c r="T1498" t="s">
        <v>607</v>
      </c>
      <c r="U1498" t="s">
        <v>607</v>
      </c>
      <c r="V1498" t="s">
        <v>607</v>
      </c>
      <c r="W1498" t="s">
        <v>660</v>
      </c>
      <c r="X1498" s="19">
        <f t="shared" si="18"/>
        <v>2.16</v>
      </c>
    </row>
    <row r="1499" spans="1:24">
      <c r="A1499" s="17" t="s">
        <v>653</v>
      </c>
      <c r="B1499" s="17" t="s">
        <v>653</v>
      </c>
      <c r="C1499" s="17" t="s">
        <v>609</v>
      </c>
      <c r="D1499" s="17" t="s">
        <v>666</v>
      </c>
      <c r="E1499" t="s">
        <v>607</v>
      </c>
      <c r="F1499" t="s">
        <v>607</v>
      </c>
      <c r="G1499" t="s">
        <v>607</v>
      </c>
      <c r="H1499" t="s">
        <v>661</v>
      </c>
      <c r="I1499" t="s">
        <v>607</v>
      </c>
      <c r="J1499" t="s">
        <v>74</v>
      </c>
      <c r="K1499" s="26" t="str">
        <f>IF(X1499&lt;=0.9,HYPERLINK("http://www.lxhausys.co.kr/popup/rn/download/downloadPopup.jsp?from=plwindow&amp;uu=/upload/window/REPORT/LXH-TW22-034 B140B5S-224FFGL1A5.pdf","1등급"),IF(X2&lt;=1.2,HYPERLINK("http://www.lxhausys.co.kr/popup/rn/download/downloadPopup.jsp?from=plwindow&amp;uu=/upload/window/REPORT/LXH-TW22-034 B140B5S-224FFGL1A5.pdf","2등급"),IF(X2&lt;=1.8,HYPERLINK("http://www.lxhausys.co.kr/popup/rn/download/downloadPopup.jsp?from=plwindow&amp;uu=/upload/window/REPORT/LXH-TW22-034 B140B5S-224FFGL1A5.pdf","3등급"),IF(X2&lt;=2.3,HYPERLINK("http://www.lxhausys.co.kr/popup/rn/download/downloadPopup.jsp?from=plwindow&amp;uu=/upload/window/REPORT/LXH-TW22-034 B140B5S-224FFGL1A5.pdf","4등급"),IF(X2&lt;=2.8,HYPERLINK("http://www.lxhausys.co.kr/popup/rn/download/downloadPopup.jsp?from=plwindow&amp;uu=/upload/window/REPORT/LXH-TW22-034 B140B5S-224FFGL1A5.pdf","5등급"),HYPERLINK("http://www.lxhausys.co.kr/popup/rn/download/downloadPopup.jsp?from=plwindow&amp;uu=/upload/window/REPORT/LXH-TW22-034 B140B5S-224FFGL1A5.pdf","등급외"))))))</f>
        <v>4등급</v>
      </c>
      <c r="L1499">
        <v>2.1230000000000002</v>
      </c>
      <c r="M1499" t="s">
        <v>103</v>
      </c>
      <c r="N1499" t="s">
        <v>607</v>
      </c>
      <c r="O1499" t="s">
        <v>607</v>
      </c>
      <c r="P1499" t="s">
        <v>607</v>
      </c>
      <c r="Q1499" t="s">
        <v>607</v>
      </c>
      <c r="R1499" t="s">
        <v>607</v>
      </c>
      <c r="S1499" t="s">
        <v>607</v>
      </c>
      <c r="T1499" t="s">
        <v>607</v>
      </c>
      <c r="U1499" t="s">
        <v>607</v>
      </c>
      <c r="V1499" t="s">
        <v>607</v>
      </c>
      <c r="W1499" t="s">
        <v>660</v>
      </c>
      <c r="X1499" s="19">
        <f t="shared" si="18"/>
        <v>2.1230000000000002</v>
      </c>
    </row>
    <row r="1500" spans="1:24">
      <c r="A1500" s="17" t="s">
        <v>654</v>
      </c>
      <c r="B1500" s="17" t="s">
        <v>654</v>
      </c>
      <c r="C1500" s="17" t="s">
        <v>609</v>
      </c>
      <c r="D1500" t="s">
        <v>25</v>
      </c>
      <c r="E1500" t="s">
        <v>607</v>
      </c>
      <c r="F1500" t="s">
        <v>607</v>
      </c>
      <c r="G1500" t="s">
        <v>607</v>
      </c>
      <c r="H1500" t="s">
        <v>284</v>
      </c>
      <c r="I1500" t="s">
        <v>607</v>
      </c>
      <c r="J1500" t="s">
        <v>74</v>
      </c>
      <c r="K1500" s="26" t="str">
        <f>IF(X1500&lt;=0.9,HYPERLINK("http://www.lxhausys.co.kr/popup/rn/download/downloadPopup.jsp?from=plwindow&amp;uu=/upload/window/REPORT/LXH-TW22-014 D-229-422GGGL2A5.pdf","1등급"),IF(X2&lt;=1.2,HYPERLINK("http://www.lxhausys.co.kr/popup/rn/download/downloadPopup.jsp?from=plwindow&amp;uu=/upload/window/REPORT/LXH-TW22-014 D-229-422GGGL2A5.pdf","2등급"),IF(X2&lt;=1.8,HYPERLINK("http://www.lxhausys.co.kr/popup/rn/download/downloadPopup.jsp?from=plwindow&amp;uu=/upload/window/REPORT/LXH-TW22-014 D-229-422GGGL2A5.pdf","3등급"),IF(X2&lt;=2.3,HYPERLINK("http://www.lxhausys.co.kr/popup/rn/download/downloadPopup.jsp?from=plwindow&amp;uu=/upload/window/REPORT/LXH-TW22-014 D-229-422GGGL2A5.pdf","4등급"),IF(X2&lt;=2.8,HYPERLINK("http://www.lxhausys.co.kr/popup/rn/download/downloadPopup.jsp?from=plwindow&amp;uu=/upload/window/REPORT/LXH-TW22-014 D-229-422GGGL2A5.pdf","5등급"),HYPERLINK("http://www.lxhausys.co.kr/popup/rn/download/downloadPopup.jsp?from=plwindow&amp;uu=/upload/window/REPORT/LXH-TW22-014 D-229-422GGGL2A5.pdf","등급외"))))))</f>
        <v>4등급</v>
      </c>
      <c r="L1500">
        <v>1.0009999999999999</v>
      </c>
      <c r="M1500" t="s">
        <v>22</v>
      </c>
      <c r="N1500" t="s">
        <v>607</v>
      </c>
      <c r="O1500" t="s">
        <v>607</v>
      </c>
      <c r="P1500" t="s">
        <v>607</v>
      </c>
      <c r="Q1500" t="s">
        <v>607</v>
      </c>
      <c r="R1500" t="s">
        <v>607</v>
      </c>
      <c r="S1500" t="s">
        <v>607</v>
      </c>
      <c r="T1500" t="s">
        <v>607</v>
      </c>
      <c r="U1500" t="s">
        <v>607</v>
      </c>
      <c r="V1500" t="s">
        <v>607</v>
      </c>
      <c r="W1500" t="s">
        <v>659</v>
      </c>
      <c r="X1500" s="19">
        <f t="shared" si="18"/>
        <v>1.0009999999999999</v>
      </c>
    </row>
    <row r="1501" spans="1:24">
      <c r="A1501" s="17" t="s">
        <v>655</v>
      </c>
      <c r="B1501" s="17" t="s">
        <v>655</v>
      </c>
      <c r="C1501" s="17" t="s">
        <v>609</v>
      </c>
      <c r="D1501" t="s">
        <v>235</v>
      </c>
      <c r="E1501" t="s">
        <v>662</v>
      </c>
      <c r="F1501" t="s">
        <v>607</v>
      </c>
      <c r="G1501" t="s">
        <v>607</v>
      </c>
      <c r="H1501" t="s">
        <v>235</v>
      </c>
      <c r="I1501" t="s">
        <v>607</v>
      </c>
      <c r="J1501" t="s">
        <v>74</v>
      </c>
      <c r="K1501" s="26" t="str">
        <f>IF(X1501&lt;=0.9,HYPERLINK("http://www.lxhausys.co.kr/popup/rn/download/downloadPopup.jsp?from=plwindow&amp;uu=/upload/window/REPORT/LXH-TW22-001 D250B3T-644SSMS2A5.pdf","1등급"),IF(X2&lt;=1.2,HYPERLINK("http://www.lxhausys.co.kr/popup/rn/download/downloadPopup.jsp?from=plwindow&amp;uu=/upload/window/REPORT/LXH-TW22-001 D250B3T-644SSMS2A5.pdf","2등급"),IF(X2&lt;=1.8,HYPERLINK("http://www.lxhausys.co.kr/popup/rn/download/downloadPopup.jsp?from=plwindow&amp;uu=/upload/window/REPORT/LXH-TW22-001 D250B3T-644SSMS2A5.pdf","3등급"),IF(X2&lt;=2.3,HYPERLINK("http://www.lxhausys.co.kr/popup/rn/download/downloadPopup.jsp?from=plwindow&amp;uu=/upload/window/REPORT/LXH-TW22-001 D250B3T-644SSMS2A5.pdf","4등급"),IF(X2&lt;=2.8,HYPERLINK("http://www.lxhausys.co.kr/popup/rn/download/downloadPopup.jsp?from=plwindow&amp;uu=/upload/window/REPORT/LXH-TW22-001 D250B3T-644SSMS2A5.pdf","5등급"),HYPERLINK("http://www.lxhausys.co.kr/popup/rn/download/downloadPopup.jsp?from=plwindow&amp;uu=/upload/window/REPORT/LXH-TW22-001 D250B3T-644SSMS2A5.pdf","등급외"))))))</f>
        <v>1등급</v>
      </c>
      <c r="L1501">
        <v>0.879</v>
      </c>
      <c r="M1501" t="s">
        <v>22</v>
      </c>
      <c r="N1501" t="s">
        <v>607</v>
      </c>
      <c r="O1501" t="s">
        <v>607</v>
      </c>
      <c r="P1501" t="s">
        <v>607</v>
      </c>
      <c r="Q1501" t="s">
        <v>607</v>
      </c>
      <c r="R1501" t="s">
        <v>607</v>
      </c>
      <c r="S1501" t="s">
        <v>607</v>
      </c>
      <c r="T1501" t="s">
        <v>607</v>
      </c>
      <c r="U1501" t="s">
        <v>607</v>
      </c>
      <c r="V1501" t="s">
        <v>607</v>
      </c>
      <c r="W1501" t="s">
        <v>660</v>
      </c>
      <c r="X1501" s="19">
        <f t="shared" si="18"/>
        <v>0.879</v>
      </c>
    </row>
    <row r="1502" spans="1:24">
      <c r="A1502" s="17" t="s">
        <v>656</v>
      </c>
      <c r="B1502" s="17" t="s">
        <v>656</v>
      </c>
      <c r="C1502" s="17" t="s">
        <v>609</v>
      </c>
      <c r="D1502" s="17" t="s">
        <v>668</v>
      </c>
      <c r="E1502" t="s">
        <v>607</v>
      </c>
      <c r="F1502" t="s">
        <v>607</v>
      </c>
      <c r="G1502" t="s">
        <v>607</v>
      </c>
      <c r="H1502" t="s">
        <v>28</v>
      </c>
      <c r="I1502" t="s">
        <v>607</v>
      </c>
      <c r="J1502" t="s">
        <v>74</v>
      </c>
      <c r="K1502" s="26" t="str">
        <f>IF(X1502&lt;=0.9,HYPERLINK("http://www.lxhausys.co.kr/popup/rn/download/downloadPopup.jsp?from=plwindow&amp;uu=/upload/window/REPORT/LXH-TW22-035 D250B5S-422GGGL2A5.pdf","1등급"),IF(X2&lt;=1.2,HYPERLINK("http://www.lxhausys.co.kr/popup/rn/download/downloadPopup.jsp?from=plwindow&amp;uu=/upload/window/REPORT/LXH-TW22-035 D250B5S-422GGGL2A5.pdf","2등급"),IF(X2&lt;=1.8,HYPERLINK("http://www.lxhausys.co.kr/popup/rn/download/downloadPopup.jsp?from=plwindow&amp;uu=/upload/window/REPORT/LXH-TW22-035 D250B5S-422GGGL2A5.pdf","3등급"),IF(X2&lt;=2.3,HYPERLINK("http://www.lxhausys.co.kr/popup/rn/download/downloadPopup.jsp?from=plwindow&amp;uu=/upload/window/REPORT/LXH-TW22-035 D250B5S-422GGGL2A5.pdf","4등급"),IF(X2&lt;=2.8,HYPERLINK("http://www.lxhausys.co.kr/popup/rn/download/downloadPopup.jsp?from=plwindow&amp;uu=/upload/window/REPORT/LXH-TW22-035 D250B5S-422GGGL2A5.pdf","5등급"),HYPERLINK("http://www.lxhausys.co.kr/popup/rn/download/downloadPopup.jsp?from=plwindow&amp;uu=/upload/window/REPORT/LXH-TW22-035 D250B5S-422GGGL2A5.pdf","등급외"))))))</f>
        <v>4등급</v>
      </c>
      <c r="L1502">
        <v>0.98799999999999999</v>
      </c>
      <c r="M1502" t="s">
        <v>22</v>
      </c>
      <c r="N1502" t="s">
        <v>607</v>
      </c>
      <c r="O1502" t="s">
        <v>607</v>
      </c>
      <c r="P1502" t="s">
        <v>607</v>
      </c>
      <c r="Q1502" t="s">
        <v>607</v>
      </c>
      <c r="R1502" t="s">
        <v>607</v>
      </c>
      <c r="S1502" t="s">
        <v>607</v>
      </c>
      <c r="T1502" t="s">
        <v>607</v>
      </c>
      <c r="U1502" t="s">
        <v>607</v>
      </c>
      <c r="V1502" t="s">
        <v>607</v>
      </c>
      <c r="W1502" t="s">
        <v>660</v>
      </c>
      <c r="X1502" s="19">
        <f t="shared" si="18"/>
        <v>0.98799999999999999</v>
      </c>
    </row>
    <row r="1503" spans="1:24">
      <c r="A1503" s="17" t="s">
        <v>656</v>
      </c>
      <c r="B1503" s="17" t="s">
        <v>656</v>
      </c>
      <c r="C1503" s="17" t="s">
        <v>609</v>
      </c>
      <c r="D1503" s="17" t="s">
        <v>669</v>
      </c>
      <c r="E1503" t="s">
        <v>607</v>
      </c>
      <c r="F1503" t="s">
        <v>607</v>
      </c>
      <c r="G1503" t="s">
        <v>607</v>
      </c>
      <c r="H1503" t="s">
        <v>66</v>
      </c>
      <c r="I1503" t="s">
        <v>607</v>
      </c>
      <c r="J1503" t="s">
        <v>74</v>
      </c>
      <c r="K1503" s="26" t="str">
        <f>IF(X1503&lt;=0.9,HYPERLINK("http://www.lxhausys.co.kr/popup/rn/download/downloadPopup.jsp?from=plwindow&amp;uu=/upload/window/REPORT/LXH-TW22-036 D250B5S-444GGGL2A5.pdf","1등급"),IF(X2&lt;=1.2,HYPERLINK("http://www.lxhausys.co.kr/popup/rn/download/downloadPopup.jsp?from=plwindow&amp;uu=/upload/window/REPORT/LXH-TW22-036 D250B5S-444GGGL2A5.pdf","2등급"),IF(X2&lt;=1.8,HYPERLINK("http://www.lxhausys.co.kr/popup/rn/download/downloadPopup.jsp?from=plwindow&amp;uu=/upload/window/REPORT/LXH-TW22-036 D250B5S-444GGGL2A5.pdf","3등급"),IF(X2&lt;=2.3,HYPERLINK("http://www.lxhausys.co.kr/popup/rn/download/downloadPopup.jsp?from=plwindow&amp;uu=/upload/window/REPORT/LXH-TW22-036 D250B5S-444GGGL2A5.pdf","4등급"),IF(X2&lt;=2.8,HYPERLINK("http://www.lxhausys.co.kr/popup/rn/download/downloadPopup.jsp?from=plwindow&amp;uu=/upload/window/REPORT/LXH-TW22-036 D250B5S-444GGGL2A5.pdf","5등급"),HYPERLINK("http://www.lxhausys.co.kr/popup/rn/download/downloadPopup.jsp?from=plwindow&amp;uu=/upload/window/REPORT/LXH-TW22-036 D250B5S-444GGGL2A5.pdf","등급외"))))))</f>
        <v>4등급</v>
      </c>
      <c r="L1503">
        <v>0.93400000000000005</v>
      </c>
      <c r="M1503" t="s">
        <v>22</v>
      </c>
      <c r="N1503" t="s">
        <v>607</v>
      </c>
      <c r="O1503" t="s">
        <v>607</v>
      </c>
      <c r="P1503" t="s">
        <v>607</v>
      </c>
      <c r="Q1503" t="s">
        <v>607</v>
      </c>
      <c r="R1503" t="s">
        <v>607</v>
      </c>
      <c r="S1503" t="s">
        <v>607</v>
      </c>
      <c r="T1503" t="s">
        <v>607</v>
      </c>
      <c r="U1503" t="s">
        <v>607</v>
      </c>
      <c r="V1503" t="s">
        <v>607</v>
      </c>
      <c r="W1503" t="s">
        <v>659</v>
      </c>
      <c r="X1503" s="19">
        <f t="shared" si="18"/>
        <v>0.93400000000000005</v>
      </c>
    </row>
    <row r="1504" spans="1:24">
      <c r="A1504" s="17" t="s">
        <v>657</v>
      </c>
      <c r="B1504" s="17" t="s">
        <v>657</v>
      </c>
      <c r="C1504" s="17" t="s">
        <v>609</v>
      </c>
      <c r="D1504" t="s">
        <v>663</v>
      </c>
      <c r="E1504" t="s">
        <v>607</v>
      </c>
      <c r="F1504" t="s">
        <v>235</v>
      </c>
      <c r="G1504" t="s">
        <v>664</v>
      </c>
      <c r="H1504" t="s">
        <v>235</v>
      </c>
      <c r="I1504" t="s">
        <v>607</v>
      </c>
      <c r="J1504" t="s">
        <v>97</v>
      </c>
      <c r="K1504" s="26" t="str">
        <f>IF(X1504&lt;=0.9,HYPERLINK("http://www.lxhausys.co.kr/popup/rn/download/downloadPopup.jsp?from=plwindow&amp;uu=/upload/window/REPORT/LXH-TW22-013 S8-280GHR-8744MGGS2A5.pdf","1등급"),IF(X2&lt;=1.2,HYPERLINK("http://www.lxhausys.co.kr/popup/rn/download/downloadPopup.jsp?from=plwindow&amp;uu=/upload/window/REPORT/LXH-TW22-013 S8-280GHR-8744MGGS2A5.pdf","2등급"),IF(X2&lt;=1.8,HYPERLINK("http://www.lxhausys.co.kr/popup/rn/download/downloadPopup.jsp?from=plwindow&amp;uu=/upload/window/REPORT/LXH-TW22-013 S8-280GHR-8744MGGS2A5.pdf","3등급"),IF(X2&lt;=2.3,HYPERLINK("http://www.lxhausys.co.kr/popup/rn/download/downloadPopup.jsp?from=plwindow&amp;uu=/upload/window/REPORT/LXH-TW22-013 S8-280GHR-8744MGGS2A5.pdf","4등급"),IF(X2&lt;=2.8,HYPERLINK("http://www.lxhausys.co.kr/popup/rn/download/downloadPopup.jsp?from=plwindow&amp;uu=/upload/window/REPORT/LXH-TW22-013 S8-280GHR-8744MGGS2A5.pdf","5등급"),HYPERLINK("http://www.lxhausys.co.kr/popup/rn/download/downloadPopup.jsp?from=plwindow&amp;uu=/upload/window/REPORT/LXH-TW22-013 S8-280GHR-8744MGGS2A5.pdf","등급외"))))))</f>
        <v>1등급</v>
      </c>
      <c r="L1504">
        <v>0.86299999999999999</v>
      </c>
      <c r="M1504" t="s">
        <v>22</v>
      </c>
      <c r="N1504" t="s">
        <v>607</v>
      </c>
      <c r="O1504" t="s">
        <v>607</v>
      </c>
      <c r="P1504" t="s">
        <v>607</v>
      </c>
      <c r="Q1504" t="s">
        <v>607</v>
      </c>
      <c r="R1504" t="s">
        <v>607</v>
      </c>
      <c r="S1504" t="s">
        <v>607</v>
      </c>
      <c r="T1504" t="s">
        <v>607</v>
      </c>
      <c r="U1504" t="s">
        <v>607</v>
      </c>
      <c r="V1504" t="s">
        <v>607</v>
      </c>
      <c r="W1504" t="s">
        <v>659</v>
      </c>
      <c r="X1504" s="19">
        <f t="shared" si="18"/>
        <v>0.86299999999999999</v>
      </c>
    </row>
    <row r="1505" spans="1:24">
      <c r="A1505" s="17" t="s">
        <v>658</v>
      </c>
      <c r="B1505" s="17" t="s">
        <v>658</v>
      </c>
      <c r="C1505" s="17" t="s">
        <v>609</v>
      </c>
      <c r="D1505" t="s">
        <v>665</v>
      </c>
      <c r="E1505" t="s">
        <v>607</v>
      </c>
      <c r="F1505" t="s">
        <v>607</v>
      </c>
      <c r="G1505" t="s">
        <v>607</v>
      </c>
      <c r="I1505" t="s">
        <v>607</v>
      </c>
      <c r="J1505" t="s">
        <v>74</v>
      </c>
      <c r="K1505" s="26" t="str">
        <f>IF(X1505&lt;=0.9,HYPERLINK("http://www.lxhausys.co.kr/popup/rn/download/downloadPopup.jsp?from=plwindow&amp;uu=/upload/window/REPORT/LXH-TW22-015 S-124-222FFGL1R5.pdf","1등급"),IF(X2&lt;=1.2,HYPERLINK("http://www.lxhausys.co.kr/popup/rn/download/downloadPopup.jsp?from=plwindow&amp;uu=/upload/window/REPORT/LXH-TW22-015 S-124-222FFGL1R5.pdf","2등급"),IF(X2&lt;=1.8,HYPERLINK("http://www.lxhausys.co.kr/popup/rn/download/downloadPopup.jsp?from=plwindow&amp;uu=/upload/window/REPORT/LXH-TW22-015 S-124-222FFGL1R5.pdf","3등급"),IF(X2&lt;=2.3,HYPERLINK("http://www.lxhausys.co.kr/popup/rn/download/downloadPopup.jsp?from=plwindow&amp;uu=/upload/window/REPORT/LXH-TW22-015 S-124-222FFGL1R5.pdf","4등급"),IF(X2&lt;=2.8,HYPERLINK("http://www.lxhausys.co.kr/popup/rn/download/downloadPopup.jsp?from=plwindow&amp;uu=/upload/window/REPORT/LXH-TW22-015 S-124-222FFGL1R5.pdf","5등급"),HYPERLINK("http://www.lxhausys.co.kr/popup/rn/download/downloadPopup.jsp?from=plwindow&amp;uu=/upload/window/REPORT/LXH-TW22-015 S-124-222FFGL1R5.pdf","등급외"))))))</f>
        <v>4등급</v>
      </c>
      <c r="L1505">
        <v>1.7949999999999999</v>
      </c>
      <c r="M1505" t="s">
        <v>22</v>
      </c>
      <c r="N1505" t="s">
        <v>607</v>
      </c>
      <c r="O1505" t="s">
        <v>607</v>
      </c>
      <c r="P1505" t="s">
        <v>607</v>
      </c>
      <c r="Q1505" t="s">
        <v>607</v>
      </c>
      <c r="R1505" t="s">
        <v>607</v>
      </c>
      <c r="S1505" t="s">
        <v>607</v>
      </c>
      <c r="T1505" t="s">
        <v>607</v>
      </c>
      <c r="U1505" t="s">
        <v>607</v>
      </c>
      <c r="V1505" t="s">
        <v>607</v>
      </c>
      <c r="W1505" t="s">
        <v>659</v>
      </c>
      <c r="X1505" s="19">
        <f>L1505</f>
        <v>1.7949999999999999</v>
      </c>
    </row>
    <row r="1047700" spans="4:4">
      <c r="D1047700" s="20"/>
    </row>
  </sheetData>
  <sortState xmlns:xlrd2="http://schemas.microsoft.com/office/spreadsheetml/2017/richdata2" ref="A2:W1155">
    <sortCondition ref="B1"/>
  </sortState>
  <phoneticPr fontId="2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0A0E8-F825-4AD3-8188-C4E583DF61FC}">
  <sheetPr>
    <tabColor rgb="FF92D050"/>
  </sheetPr>
  <dimension ref="A1:X393"/>
  <sheetViews>
    <sheetView tabSelected="1" zoomScaleNormal="100" workbookViewId="0">
      <pane ySplit="1" topLeftCell="A2" activePane="bottomLeft" state="frozen"/>
      <selection activeCell="C1" sqref="C1"/>
      <selection pane="bottomLeft" activeCell="F33" sqref="F33"/>
    </sheetView>
  </sheetViews>
  <sheetFormatPr defaultColWidth="8.75" defaultRowHeight="11.25"/>
  <cols>
    <col min="1" max="1" width="11" style="33" bestFit="1" customWidth="1"/>
    <col min="2" max="2" width="21" style="32" bestFit="1" customWidth="1"/>
    <col min="3" max="3" width="12.375" style="33" bestFit="1" customWidth="1"/>
    <col min="4" max="4" width="11" style="33" bestFit="1" customWidth="1"/>
    <col min="5" max="5" width="37.625" style="32" bestFit="1" customWidth="1"/>
    <col min="6" max="6" width="33.875" style="40" customWidth="1"/>
    <col min="7" max="7" width="39.25" style="32" customWidth="1"/>
    <col min="8" max="8" width="33.625" style="33" customWidth="1"/>
    <col min="9" max="9" width="30.25" style="33" customWidth="1"/>
    <col min="10" max="10" width="12.75" style="33" bestFit="1" customWidth="1"/>
    <col min="11" max="11" width="21" style="32" customWidth="1"/>
    <col min="12" max="12" width="15.25" style="33" bestFit="1" customWidth="1"/>
    <col min="13" max="14" width="13.25" style="33" bestFit="1" customWidth="1"/>
    <col min="15" max="15" width="8.25" style="33" bestFit="1" customWidth="1"/>
    <col min="16" max="17" width="12.25" style="33" bestFit="1" customWidth="1"/>
    <col min="18" max="18" width="13.625" style="33" bestFit="1" customWidth="1"/>
    <col min="19" max="19" width="8.25" style="33" bestFit="1" customWidth="1"/>
    <col min="20" max="22" width="12" style="33" bestFit="1" customWidth="1"/>
    <col min="23" max="23" width="8.25" style="33" bestFit="1" customWidth="1"/>
    <col min="24" max="24" width="9.625" style="33" bestFit="1" customWidth="1"/>
    <col min="25" max="16384" width="8.75" style="32"/>
  </cols>
  <sheetData>
    <row r="1" spans="1:24">
      <c r="A1" s="35" t="s">
        <v>1407</v>
      </c>
      <c r="B1" s="35" t="s">
        <v>1408</v>
      </c>
      <c r="C1" s="35" t="s">
        <v>1409</v>
      </c>
      <c r="D1" s="35" t="s">
        <v>2</v>
      </c>
      <c r="E1" s="35" t="s">
        <v>1412</v>
      </c>
      <c r="F1" s="39" t="s">
        <v>1413</v>
      </c>
      <c r="G1" s="35" t="s">
        <v>1414</v>
      </c>
      <c r="H1" s="35" t="s">
        <v>1415</v>
      </c>
      <c r="I1" s="35" t="s">
        <v>1411</v>
      </c>
      <c r="J1" s="35" t="s">
        <v>5</v>
      </c>
      <c r="K1" s="35" t="s">
        <v>1408</v>
      </c>
      <c r="L1" s="57" t="s">
        <v>1670</v>
      </c>
      <c r="M1" s="36" t="s">
        <v>7</v>
      </c>
      <c r="N1" s="36" t="s">
        <v>8</v>
      </c>
      <c r="O1" s="34" t="s">
        <v>681</v>
      </c>
      <c r="P1" s="34" t="s">
        <v>9</v>
      </c>
      <c r="Q1" s="34" t="s">
        <v>10</v>
      </c>
      <c r="R1" s="34" t="s">
        <v>11</v>
      </c>
      <c r="S1" s="34" t="s">
        <v>12</v>
      </c>
      <c r="T1" s="34" t="s">
        <v>13</v>
      </c>
      <c r="U1" s="34" t="s">
        <v>14</v>
      </c>
      <c r="V1" s="34" t="s">
        <v>15</v>
      </c>
      <c r="W1" s="34" t="s">
        <v>16</v>
      </c>
      <c r="X1" s="34" t="s">
        <v>17</v>
      </c>
    </row>
    <row r="2" spans="1:24">
      <c r="A2" s="42" t="s">
        <v>671</v>
      </c>
      <c r="B2" s="43" t="s">
        <v>780</v>
      </c>
      <c r="C2" s="42" t="s">
        <v>1077</v>
      </c>
      <c r="D2" s="42" t="s">
        <v>20</v>
      </c>
      <c r="E2" s="43" t="s">
        <v>730</v>
      </c>
      <c r="F2" s="44" t="s">
        <v>743</v>
      </c>
      <c r="G2" s="43"/>
      <c r="H2" s="43"/>
      <c r="I2" s="43"/>
      <c r="J2" s="42" t="s">
        <v>1410</v>
      </c>
      <c r="K2" s="43" t="str">
        <f>VLOOKUP(C2,'[1]뷰프레임 전체_상세'!$B:$E,4,0)</f>
        <v>F-250-466KGGG2A5</v>
      </c>
      <c r="L2" s="52" t="str">
        <f>IF(M2&lt;=0.9,HYPERLINK("http://www.lxhausys.co.kr/popup/rn/download/downloadPopup.jsp?from=plwindow&amp;uu=/upload/window/REPORT/LXH-EA24-002 F-250-466KGGG2A5.pdf","1등급"),IF(M2&lt;=1.2,HYPERLINK("http://www.lxhausys.co.kr/popup/rn/download/downloadPopup.jsp?from=plwindow&amp;uu=/upload/window/REPORT/LXH-EA24-002 F-250-466KGGG2A5.pdf","2등급"),IF(M2&lt;=1.8,HYPERLINK("http://www.lxhausys.co.kr/popup/rn/download/downloadPopup.jsp?from=plwindow&amp;uu=/upload/window/REPORT/LXH-EA24-002 F-250-466KGGG2A5.pdf","3등급"),IF(M2&lt;=2.3,HYPERLINK("http://www.lxhausys.co.kr/popup/rn/download/downloadPopup.jsp?from=plwindow&amp;uu=/upload/window/REPORT/LXH-EA24-002 F-250-466KGGG2A5.pdf","4등급"),IF(M2&lt;=2.8,HYPERLINK("http://www.lxhausys.co.kr/popup/rn/download/downloadPopup.jsp?from=plwindow&amp;uu=/upload/window/REPORT/LXH-EA24-002 F-250-466KGGG2A5.pdf","5등급"),HYPERLINK("http://www.lxhausys.co.kr/popup/rn/download/downloadPopup.jsp?from=plwindow&amp;uu=/upload/window/REPORT/LXH-EA24-002 F-250-466KGGG2A5.pdf","등급외"))))))</f>
        <v>1등급</v>
      </c>
      <c r="M2" s="45">
        <v>0.88300000000000001</v>
      </c>
      <c r="N2" s="45">
        <v>0.82</v>
      </c>
      <c r="O2" s="42" t="s">
        <v>19</v>
      </c>
      <c r="P2" s="42" t="s">
        <v>22</v>
      </c>
      <c r="Q2" s="42" t="s">
        <v>19</v>
      </c>
      <c r="R2" s="42" t="s">
        <v>19</v>
      </c>
      <c r="S2" s="42" t="s">
        <v>19</v>
      </c>
      <c r="T2" s="42" t="s">
        <v>19</v>
      </c>
      <c r="U2" s="42" t="s">
        <v>19</v>
      </c>
      <c r="V2" s="42" t="s">
        <v>19</v>
      </c>
      <c r="W2" s="42" t="s">
        <v>19</v>
      </c>
      <c r="X2" s="42" t="s">
        <v>75</v>
      </c>
    </row>
    <row r="3" spans="1:24">
      <c r="A3" s="42" t="s">
        <v>672</v>
      </c>
      <c r="B3" s="43" t="s">
        <v>781</v>
      </c>
      <c r="C3" s="42" t="s">
        <v>1078</v>
      </c>
      <c r="D3" s="42" t="s">
        <v>20</v>
      </c>
      <c r="E3" s="43" t="s">
        <v>719</v>
      </c>
      <c r="F3" s="44"/>
      <c r="G3" s="43"/>
      <c r="H3" s="43"/>
      <c r="I3" s="43"/>
      <c r="J3" s="42" t="s">
        <v>1410</v>
      </c>
      <c r="K3" s="43" t="str">
        <f>VLOOKUP(C3,'[1]뷰프레임 전체_상세'!$B:$E,4,0)</f>
        <v>F-140-226FFKG1R5</v>
      </c>
      <c r="L3" s="52" t="str">
        <f>IF(M3&lt;=0.9,HYPERLINK("http://www.lxhausys.co.kr/popup/rn/download/downloadPopup.jsp?from=plwindow&amp;uu=/upload/window/REPORT/LXH-EA24-003 F-140-226FFKG1R5.pdf","1등급"),IF(M3&lt;=1.2,HYPERLINK("http://www.lxhausys.co.kr/popup/rn/download/downloadPopup.jsp?from=plwindow&amp;uu=/upload/window/REPORT/LXH-EA24-003 F-140-226FFKG1R5.pdf","2등급"),IF(M3&lt;=1.8,HYPERLINK("http://www.lxhausys.co.kr/popup/rn/download/downloadPopup.jsp?from=plwindow&amp;uu=/upload/window/REPORT/LXH-EA24-003 F-140-226FFKG1R5.pdf","3등급"),IF(M3&lt;=2.3,HYPERLINK("http://www.lxhausys.co.kr/popup/rn/download/downloadPopup.jsp?from=plwindow&amp;uu=/upload/window/REPORT/LXH-EA24-003 F-140-226FFKG1R5.pdf","4등급"),IF(M3&lt;=2.8,HYPERLINK("http://www.lxhausys.co.kr/popup/rn/download/downloadPopup.jsp?from=plwindow&amp;uu=/upload/window/REPORT/LXH-EA24-003 F-140-226FFKG1R5.pdf","5등급"),HYPERLINK("http://www.lxhausys.co.kr/popup/rn/download/downloadPopup.jsp?from=plwindow&amp;uu=/upload/window/REPORT/LXH-TW22-015 S-124-222FFGL1R6.pdf","등급외"))))))</f>
        <v>3등급</v>
      </c>
      <c r="M3" s="45">
        <v>1.58</v>
      </c>
      <c r="N3" s="45">
        <v>1.46</v>
      </c>
      <c r="O3" s="42" t="s">
        <v>19</v>
      </c>
      <c r="P3" s="42" t="s">
        <v>103</v>
      </c>
      <c r="Q3" s="42" t="s">
        <v>19</v>
      </c>
      <c r="R3" s="42" t="s">
        <v>19</v>
      </c>
      <c r="S3" s="42" t="s">
        <v>19</v>
      </c>
      <c r="T3" s="42" t="s">
        <v>19</v>
      </c>
      <c r="U3" s="42" t="s">
        <v>19</v>
      </c>
      <c r="V3" s="42" t="s">
        <v>19</v>
      </c>
      <c r="W3" s="42" t="s">
        <v>19</v>
      </c>
      <c r="X3" s="42" t="s">
        <v>75</v>
      </c>
    </row>
    <row r="4" spans="1:24">
      <c r="A4" s="42" t="s">
        <v>673</v>
      </c>
      <c r="B4" s="43" t="s">
        <v>782</v>
      </c>
      <c r="C4" s="42" t="s">
        <v>1079</v>
      </c>
      <c r="D4" s="42" t="s">
        <v>20</v>
      </c>
      <c r="E4" s="43" t="s">
        <v>719</v>
      </c>
      <c r="F4" s="44"/>
      <c r="G4" s="43"/>
      <c r="H4" s="43"/>
      <c r="I4" s="43"/>
      <c r="J4" s="42" t="s">
        <v>1410</v>
      </c>
      <c r="K4" s="43" t="str">
        <f>VLOOKUP(C4,'[1]뷰프레임 전체_상세'!$B:$E,4,0)</f>
        <v>F-145-226FFKG1R5</v>
      </c>
      <c r="L4" s="52" t="str">
        <f>IF(M4&lt;=0.9,HYPERLINK("http://www.lxhausys.co.kr/popup/rn/download/downloadPopup.jsp?from=plwindow&amp;uu=/upload/window/REPORT/LXH-EA24-004 F-145-226FFKG1R5.pdf","1등급"),IF(M4&lt;=1.2,HYPERLINK("http://www.lxhausys.co.kr/popup/rn/download/downloadPopup.jsp?from=plwindow&amp;uu=/upload/window/REPORT/LXH-EA24-004 F-145-226FFKG1R5.pdf","2등급"),IF(M4&lt;=1.8,HYPERLINK("http://www.lxhausys.co.kr/popup/rn/download/downloadPopup.jsp?from=plwindow&amp;uu=/upload/window/REPORT/LXH-EA24-004 F-145-226FFKG1R5.pdf","3등급"),IF(M4&lt;=2.3,HYPERLINK("http://www.lxhausys.co.kr/popup/rn/download/downloadPopup.jsp?from=plwindow&amp;uu=/upload/window/REPORT/LXH-EA24-004 F-145-226FFKG1R5.pdf","4등급"),IF(M4&lt;=2.8,HYPERLINK("http://www.lxhausys.co.kr/popup/rn/download/downloadPopup.jsp?from=plwindow&amp;uu=/upload/window/REPORT/LXH-EA24-004 F-145-226FFKG1R5.pdf","5등급"),HYPERLINK("http://www.lxhausys.co.kr/popup/rn/download/downloadPopup.jsp?from=plwindow&amp;uu=/upload/window/REPORT/LXH-TW22-015 S-124-222FFGL1R7.pdf","등급외"))))))</f>
        <v>3등급</v>
      </c>
      <c r="M4" s="45">
        <v>1.57</v>
      </c>
      <c r="N4" s="45">
        <v>1.55</v>
      </c>
      <c r="O4" s="42" t="s">
        <v>19</v>
      </c>
      <c r="P4" s="42" t="s">
        <v>103</v>
      </c>
      <c r="Q4" s="42" t="s">
        <v>19</v>
      </c>
      <c r="R4" s="42" t="s">
        <v>19</v>
      </c>
      <c r="S4" s="42" t="s">
        <v>19</v>
      </c>
      <c r="T4" s="42" t="s">
        <v>19</v>
      </c>
      <c r="U4" s="42" t="s">
        <v>19</v>
      </c>
      <c r="V4" s="42" t="s">
        <v>19</v>
      </c>
      <c r="W4" s="42" t="s">
        <v>19</v>
      </c>
      <c r="X4" s="42" t="s">
        <v>75</v>
      </c>
    </row>
    <row r="5" spans="1:24">
      <c r="A5" s="42" t="s">
        <v>671</v>
      </c>
      <c r="B5" s="43" t="s">
        <v>783</v>
      </c>
      <c r="C5" s="42" t="s">
        <v>1080</v>
      </c>
      <c r="D5" s="42" t="s">
        <v>20</v>
      </c>
      <c r="E5" s="43" t="s">
        <v>731</v>
      </c>
      <c r="F5" s="44" t="s">
        <v>744</v>
      </c>
      <c r="G5" s="43"/>
      <c r="H5" s="43"/>
      <c r="I5" s="43"/>
      <c r="J5" s="42" t="s">
        <v>1410</v>
      </c>
      <c r="K5" s="43" t="str">
        <f>VLOOKUP(C5,'[1]뷰프레임 전체_상세'!$B:$E,4,0)</f>
        <v>F-250-466GGGS1R5</v>
      </c>
      <c r="L5" s="52" t="str">
        <f>IF(M5&lt;=0.9,HYPERLINK("http://www.lxhausys.co.kr/popup/rn/download/downloadPopup.jsp?from=plwindow&amp;uu=/upload/window/REPORT/LXH-EA24-005 F-250-466GGGS1R5.pdf","1등급"),IF(M5&lt;=1.2,HYPERLINK("http://www.lxhausys.co.kr/popup/rn/download/downloadPopup.jsp?from=plwindow&amp;uu=/upload/window/REPORT/LXH-EA24-005 F-250-466GGGS1R5.pdf","2등급"),IF(M5&lt;=1.8,HYPERLINK("http://www.lxhausys.co.kr/popup/rn/download/downloadPopup.jsp?from=plwindow&amp;uu=/upload/window/REPORT/LXH-EA24-005 F-250-466GGGS1R5.pdf","3등급"),IF(M5&lt;=2.3,HYPERLINK("http://www.lxhausys.co.kr/popup/rn/download/downloadPopup.jsp?from=plwindow&amp;uu=/upload/window/REPORT/LXH-EA24-005 F-250-466GGGS1R5.pdf","4등급"),IF(M5&lt;=2.8,HYPERLINK("http://www.lxhausys.co.kr/popup/rn/download/downloadPopup.jsp?from=plwindow&amp;uu=/upload/window/REPORT/LXH-EA24-005 F-250-466GGGS1R5.pdf","5등급"),HYPERLINK("http://www.lxhausys.co.kr/popup/rn/download/downloadPopup.jsp?from=plwindow&amp;uu=/upload/window/REPORT/LXH-TW22-015 S-124-222FFGL1R8.pdf","등급외"))))))</f>
        <v>1등급</v>
      </c>
      <c r="M5" s="45">
        <v>0.77800000000000002</v>
      </c>
      <c r="N5" s="45">
        <v>0.81</v>
      </c>
      <c r="O5" s="42" t="s">
        <v>19</v>
      </c>
      <c r="P5" s="42" t="s">
        <v>22</v>
      </c>
      <c r="Q5" s="42" t="s">
        <v>19</v>
      </c>
      <c r="R5" s="42" t="s">
        <v>19</v>
      </c>
      <c r="S5" s="42" t="s">
        <v>19</v>
      </c>
      <c r="T5" s="42" t="s">
        <v>19</v>
      </c>
      <c r="U5" s="42" t="s">
        <v>19</v>
      </c>
      <c r="V5" s="42" t="s">
        <v>19</v>
      </c>
      <c r="W5" s="42" t="s">
        <v>19</v>
      </c>
      <c r="X5" s="42" t="s">
        <v>75</v>
      </c>
    </row>
    <row r="6" spans="1:24">
      <c r="A6" s="42" t="s">
        <v>672</v>
      </c>
      <c r="B6" s="43" t="s">
        <v>784</v>
      </c>
      <c r="C6" s="42" t="s">
        <v>1081</v>
      </c>
      <c r="D6" s="42" t="s">
        <v>20</v>
      </c>
      <c r="E6" s="43" t="s">
        <v>725</v>
      </c>
      <c r="F6" s="44"/>
      <c r="G6" s="43"/>
      <c r="H6" s="43"/>
      <c r="I6" s="43"/>
      <c r="J6" s="42" t="s">
        <v>1410</v>
      </c>
      <c r="K6" s="43" t="str">
        <f>VLOOKUP(C6,'[1]뷰프레임 전체_상세'!$B:$E,4,0)</f>
        <v>F-140-228FFKG1R5</v>
      </c>
      <c r="L6" s="52" t="str">
        <f>IF(M6&lt;=0.9,HYPERLINK("http://www.lxhausys.co.kr/popup/rn/download/downloadPopup.jsp?from=plwindow&amp;uu=/upload/window/REPORT/LXH-EA24-006 F-140-228FFKG1R5.pdf","1등급"),IF(M6&lt;=1.2,HYPERLINK("http://www.lxhausys.co.kr/popup/rn/download/downloadPopup.jsp?from=plwindow&amp;uu=/upload/window/REPORT/LXH-EA24-006 F-140-228FFKG1R5.pdf","2등급"),IF(M6&lt;=1.8,HYPERLINK("http://www.lxhausys.co.kr/popup/rn/download/downloadPopup.jsp?from=plwindow&amp;uu=/upload/window/REPORT/LXH-EA24-006 F-140-228FFKG1R5.pdf","3등급"),IF(M6&lt;=2.3,HYPERLINK("http://www.lxhausys.co.kr/popup/rn/download/downloadPopup.jsp?from=plwindow&amp;uu=/upload/window/REPORT/LXH-EA24-006 F-140-228FFKG1R5.pdf","4등급"),IF(M6&lt;=2.8,HYPERLINK("http://www.lxhausys.co.kr/popup/rn/download/downloadPopup.jsp?from=plwindow&amp;uu=/upload/window/REPORT/LXH-EA24-006 F-140-228FFKG1R5.pdf","5등급"),HYPERLINK("http://www.lxhausys.co.kr/popup/rn/download/downloadPopup.jsp?from=plwindow&amp;uu=/upload/window/REPORT/LXH-TW22-015 S-124-222FFGL1R9.pdf","등급외"))))))</f>
        <v>3등급</v>
      </c>
      <c r="M6" s="45">
        <v>1.5580000000000001</v>
      </c>
      <c r="N6" s="45">
        <v>1.54</v>
      </c>
      <c r="O6" s="42" t="s">
        <v>19</v>
      </c>
      <c r="P6" s="42" t="s">
        <v>103</v>
      </c>
      <c r="Q6" s="42" t="s">
        <v>19</v>
      </c>
      <c r="R6" s="42" t="s">
        <v>19</v>
      </c>
      <c r="S6" s="42" t="s">
        <v>19</v>
      </c>
      <c r="T6" s="42" t="s">
        <v>19</v>
      </c>
      <c r="U6" s="42" t="s">
        <v>19</v>
      </c>
      <c r="V6" s="42" t="s">
        <v>19</v>
      </c>
      <c r="W6" s="42" t="s">
        <v>19</v>
      </c>
      <c r="X6" s="42" t="s">
        <v>75</v>
      </c>
    </row>
    <row r="7" spans="1:24">
      <c r="A7" s="42" t="s">
        <v>671</v>
      </c>
      <c r="B7" s="43" t="s">
        <v>785</v>
      </c>
      <c r="C7" s="42" t="s">
        <v>1082</v>
      </c>
      <c r="D7" s="42" t="s">
        <v>20</v>
      </c>
      <c r="E7" s="43" t="s">
        <v>732</v>
      </c>
      <c r="F7" s="44" t="s">
        <v>743</v>
      </c>
      <c r="G7" s="43"/>
      <c r="H7" s="43"/>
      <c r="I7" s="43"/>
      <c r="J7" s="42" t="s">
        <v>1410</v>
      </c>
      <c r="K7" s="43" t="str">
        <f>VLOOKUP(C7,'[1]뷰프레임 전체_상세'!$B:$E,4,0)</f>
        <v>F-250-466KGGG1R5</v>
      </c>
      <c r="L7" s="52" t="str">
        <f>IF(M7&lt;=0.9,HYPERLINK("http://www.lxhausys.co.kr/popup/rn/download/downloadPopup.jsp?from=plwindow&amp;uu=/upload/window/REPORT/LXH-EA24-007 F-250-466KGGG1R5.pdf","1등급"),IF(M7&lt;=1.2,HYPERLINK("http://www.lxhausys.co.kr/popup/rn/download/downloadPopup.jsp?from=plwindow&amp;uu=/upload/window/REPORT/LXH-EA24-007 F-250-466KGGG1R5.pdf","2등급"),IF(M7&lt;=1.8,HYPERLINK("http://www.lxhausys.co.kr/popup/rn/download/downloadPopup.jsp?from=plwindow&amp;uu=/upload/window/REPORT/LXH-EA24-007 F-250-466KGGG1R5.pdf","3등급"),IF(M7&lt;=2.3,HYPERLINK("http://www.lxhausys.co.kr/popup/rn/download/downloadPopup.jsp?from=plwindow&amp;uu=/upload/window/REPORT/LXH-EA24-007 F-250-466KGGG1R5.pdf","4등급"),IF(M7&lt;=2.8,HYPERLINK("http://www.lxhausys.co.kr/popup/rn/download/downloadPopup.jsp?from=plwindow&amp;uu=/upload/window/REPORT/LXH-EA24-007 F-250-466KGGG1R5.pdf","5등급"),HYPERLINK("http://www.lxhausys.co.kr/popup/rn/download/downloadPopup.jsp?from=plwindow&amp;uu=/upload/window/REPORT/LXH-TW22-015 S-124-222FFGL1R10.pdf","등급외"))))))</f>
        <v>1등급</v>
      </c>
      <c r="M7" s="45">
        <v>0.76500000000000001</v>
      </c>
      <c r="N7" s="45">
        <v>0.84</v>
      </c>
      <c r="O7" s="42" t="s">
        <v>19</v>
      </c>
      <c r="P7" s="42" t="s">
        <v>22</v>
      </c>
      <c r="Q7" s="42" t="s">
        <v>19</v>
      </c>
      <c r="R7" s="42" t="s">
        <v>19</v>
      </c>
      <c r="S7" s="42" t="s">
        <v>19</v>
      </c>
      <c r="T7" s="42" t="s">
        <v>19</v>
      </c>
      <c r="U7" s="42" t="s">
        <v>19</v>
      </c>
      <c r="V7" s="42" t="s">
        <v>19</v>
      </c>
      <c r="W7" s="42" t="s">
        <v>19</v>
      </c>
      <c r="X7" s="42" t="s">
        <v>75</v>
      </c>
    </row>
    <row r="8" spans="1:24">
      <c r="A8" s="42" t="s">
        <v>671</v>
      </c>
      <c r="B8" s="43" t="s">
        <v>786</v>
      </c>
      <c r="C8" s="42" t="s">
        <v>1083</v>
      </c>
      <c r="D8" s="42" t="s">
        <v>20</v>
      </c>
      <c r="E8" s="43" t="s">
        <v>733</v>
      </c>
      <c r="F8" s="44" t="s">
        <v>745</v>
      </c>
      <c r="G8" s="43"/>
      <c r="H8" s="43"/>
      <c r="I8" s="43"/>
      <c r="J8" s="42" t="s">
        <v>1410</v>
      </c>
      <c r="K8" s="43" t="str">
        <f>VLOOKUP(C8,'[1]뷰프레임 전체_상세'!$B:$E,4,0)</f>
        <v>F-250-488KGGS2R5</v>
      </c>
      <c r="L8" s="52" t="str">
        <f>IF(M8&lt;=0.9,HYPERLINK("http://www.lxhausys.co.kr/popup/rn/download/downloadPopup.jsp?from=plwindow&amp;uu=/upload/window/REPORT/LXH-EA24-008 F-250-488KGGS2R5.pdf","1등급"),IF(M8&lt;=1.2,HYPERLINK("http://www.lxhausys.co.kr/popup/rn/download/downloadPopup.jsp?from=plwindow&amp;uu=/upload/window/REPORT/LXH-EA24-008 F-250-488KGGS2R5.pdf","2등급"),IF(M8&lt;=1.8,HYPERLINK("http://www.lxhausys.co.kr/popup/rn/download/downloadPopup.jsp?from=plwindow&amp;uu=/upload/window/REPORT/LXH-EA24-008 F-250-488KGGS2R5.pdf","3등급"),IF(M8&lt;=2.3,HYPERLINK("http://www.lxhausys.co.kr/popup/rn/download/downloadPopup.jsp?from=plwindow&amp;uu=/upload/window/REPORT/LXH-EA24-008 F-250-488KGGS2R5.pdf","4등급"),IF(M8&lt;=2.8,HYPERLINK("http://www.lxhausys.co.kr/popup/rn/download/downloadPopup.jsp?from=plwindow&amp;uu=/upload/window/REPORT/LXH-EA24-008 F-250-488KGGS2R5.pdf","5등급"),HYPERLINK("http://www.lxhausys.co.kr/popup/rn/download/downloadPopup.jsp?from=plwindow&amp;uu=/upload/window/REPORT/LXH-TW22-015 S-124-222FFGL1R11.pdf","등급외"))))))</f>
        <v>1등급</v>
      </c>
      <c r="M8" s="45">
        <v>0.5</v>
      </c>
      <c r="N8" s="45">
        <v>0.85</v>
      </c>
      <c r="O8" s="42" t="s">
        <v>19</v>
      </c>
      <c r="P8" s="42" t="s">
        <v>22</v>
      </c>
      <c r="Q8" s="42" t="s">
        <v>19</v>
      </c>
      <c r="R8" s="42" t="s">
        <v>19</v>
      </c>
      <c r="S8" s="42" t="s">
        <v>19</v>
      </c>
      <c r="T8" s="42" t="s">
        <v>19</v>
      </c>
      <c r="U8" s="42" t="s">
        <v>19</v>
      </c>
      <c r="V8" s="42" t="s">
        <v>19</v>
      </c>
      <c r="W8" s="42" t="s">
        <v>19</v>
      </c>
      <c r="X8" s="42" t="s">
        <v>75</v>
      </c>
    </row>
    <row r="9" spans="1:24">
      <c r="A9" s="42" t="s">
        <v>671</v>
      </c>
      <c r="B9" s="43" t="s">
        <v>787</v>
      </c>
      <c r="C9" s="42" t="s">
        <v>1084</v>
      </c>
      <c r="D9" s="42" t="s">
        <v>20</v>
      </c>
      <c r="E9" s="43" t="s">
        <v>731</v>
      </c>
      <c r="F9" s="44" t="s">
        <v>746</v>
      </c>
      <c r="G9" s="43"/>
      <c r="H9" s="43"/>
      <c r="I9" s="43"/>
      <c r="J9" s="42" t="s">
        <v>1410</v>
      </c>
      <c r="K9" s="43" t="str">
        <f>VLOOKUP(C9,'[1]뷰프레임 전체_상세'!$B:$E,4,0)</f>
        <v>F-250-466GGGS2A5</v>
      </c>
      <c r="L9" s="52" t="str">
        <f>IF(M9&lt;=0.9,HYPERLINK("http://www.lxhausys.co.kr/popup/rn/download/downloadPopup.jsp?from=plwindow&amp;uu=/upload/window/REPORT/LXH-EA24-009 F-250-466GGGS2A5.pdf","1등급"),IF(M9&lt;=1.2,HYPERLINK("http://www.lxhausys.co.kr/popup/rn/download/downloadPopup.jsp?from=plwindow&amp;uu=/upload/window/REPORT/LXH-EA24-009 F-250-466GGGS2A5.pdf","2등급"),IF(M9&lt;=1.8,HYPERLINK("http://www.lxhausys.co.kr/popup/rn/download/downloadPopup.jsp?from=plwindow&amp;uu=/upload/window/REPORT/LXH-EA24-009 F-250-466GGGS2A5.pdf","3등급"),IF(M9&lt;=2.3,HYPERLINK("http://www.lxhausys.co.kr/popup/rn/download/downloadPopup.jsp?from=plwindow&amp;uu=/upload/window/REPORT/LXH-EA24-009 F-250-466GGGS2A5.pdf","4등급"),IF(M9&lt;=2.8,HYPERLINK("http://www.lxhausys.co.kr/popup/rn/download/downloadPopup.jsp?from=plwindow&amp;uu=/upload/window/REPORT/LXH-EA24-009 F-250-466GGGS2A5.pdf","5등급"),HYPERLINK("http://www.lxhausys.co.kr/popup/rn/download/downloadPopup.jsp?from=plwindow&amp;uu=/upload/window/REPORT/LXH-TW22-015 S-124-222FFGL1R12.pdf","등급외"))))))</f>
        <v>1등급</v>
      </c>
      <c r="M9" s="45">
        <v>0.875</v>
      </c>
      <c r="N9" s="45">
        <v>0.84</v>
      </c>
      <c r="O9" s="42" t="s">
        <v>19</v>
      </c>
      <c r="P9" s="42" t="s">
        <v>22</v>
      </c>
      <c r="Q9" s="42" t="s">
        <v>19</v>
      </c>
      <c r="R9" s="42" t="s">
        <v>19</v>
      </c>
      <c r="S9" s="42" t="s">
        <v>19</v>
      </c>
      <c r="T9" s="42" t="s">
        <v>19</v>
      </c>
      <c r="U9" s="42" t="s">
        <v>19</v>
      </c>
      <c r="V9" s="42" t="s">
        <v>19</v>
      </c>
      <c r="W9" s="42" t="s">
        <v>19</v>
      </c>
      <c r="X9" s="42" t="s">
        <v>75</v>
      </c>
    </row>
    <row r="10" spans="1:24">
      <c r="A10" s="42" t="s">
        <v>672</v>
      </c>
      <c r="B10" s="43" t="s">
        <v>788</v>
      </c>
      <c r="C10" s="42" t="s">
        <v>1085</v>
      </c>
      <c r="D10" s="42" t="s">
        <v>20</v>
      </c>
      <c r="E10" s="43" t="s">
        <v>714</v>
      </c>
      <c r="F10" s="44"/>
      <c r="G10" s="43"/>
      <c r="H10" s="43"/>
      <c r="I10" s="43"/>
      <c r="J10" s="42" t="s">
        <v>1410</v>
      </c>
      <c r="K10" s="43" t="str">
        <f>VLOOKUP(C10,'[1]뷰프레임 전체_상세'!$B:$E,4,0)</f>
        <v>F-140-226FFKG1A5</v>
      </c>
      <c r="L10" s="52" t="str">
        <f>IF(M10&lt;=0.9,HYPERLINK("http://www.lxhausys.co.kr/popup/rn/download/downloadPopup.jsp?from=plwindow&amp;uu=/upload/window/REPORT/LXH-EA24-075 F-140-226FFKG1A5.pdf","1등급"),IF(M10&lt;=1.2,HYPERLINK("http://www.lxhausys.co.kr/popup/rn/download/downloadPopup.jsp?from=plwindow&amp;uu=/upload/window/REPORT/LXH-EA24-075 F-140-226FFKG1A5.pdf","2등급"),IF(M10&lt;=1.8,HYPERLINK("http://www.lxhausys.co.kr/popup/rn/download/downloadPopup.jsp?from=plwindow&amp;uu=/upload/window/REPORT/LXH-EA24-075 F-140-226FFKG1A5.pdf","3등급"),IF(M10&lt;=2.3,HYPERLINK("http://www.lxhausys.co.kr/popup/rn/download/downloadPopup.jsp?from=plwindow&amp;uu=/upload/window/REPORT/LXH-EA24-075 F-140-226FFKG1A5.pdf","4등급"),IF(M10&lt;=2.8,HYPERLINK("http://www.lxhausys.co.kr/popup/rn/download/downloadPopup.jsp?from=plwindow&amp;uu=/upload/window/REPORT/LXH-EA24-075 F-140-226FFKG1A5.pdf","5등급"),HYPERLINK("http://www.lxhausys.co.kr/popup/rn/download/downloadPopup.jsp?from=plwindow&amp;uu=/upload/window/REPORT/LXH-TW22-015 S-124-222FFGL1R13.pdf","등급외"))))))</f>
        <v>4등급</v>
      </c>
      <c r="M10" s="45">
        <v>1.8180000000000001</v>
      </c>
      <c r="N10" s="45">
        <v>1.44</v>
      </c>
      <c r="O10" s="42" t="s">
        <v>19</v>
      </c>
      <c r="P10" s="42" t="s">
        <v>103</v>
      </c>
      <c r="Q10" s="42" t="s">
        <v>19</v>
      </c>
      <c r="R10" s="42" t="s">
        <v>19</v>
      </c>
      <c r="S10" s="42" t="s">
        <v>19</v>
      </c>
      <c r="T10" s="42" t="s">
        <v>19</v>
      </c>
      <c r="U10" s="42" t="s">
        <v>19</v>
      </c>
      <c r="V10" s="42" t="s">
        <v>19</v>
      </c>
      <c r="W10" s="42" t="s">
        <v>19</v>
      </c>
      <c r="X10" s="42" t="s">
        <v>75</v>
      </c>
    </row>
    <row r="11" spans="1:24">
      <c r="A11" s="42" t="s">
        <v>671</v>
      </c>
      <c r="B11" s="43" t="s">
        <v>789</v>
      </c>
      <c r="C11" s="42" t="s">
        <v>1086</v>
      </c>
      <c r="D11" s="42" t="s">
        <v>20</v>
      </c>
      <c r="E11" s="43" t="s">
        <v>730</v>
      </c>
      <c r="F11" s="44" t="s">
        <v>744</v>
      </c>
      <c r="G11" s="43"/>
      <c r="H11" s="43"/>
      <c r="I11" s="43"/>
      <c r="J11" s="42" t="s">
        <v>1410</v>
      </c>
      <c r="K11" s="43" t="str">
        <f>VLOOKUP(C11,'[1]뷰프레임 전체_상세'!$B:$E,4,0)</f>
        <v>F-250-466KGGS1R5</v>
      </c>
      <c r="L11" s="52" t="str">
        <f>IF(M11&lt;=0.9,HYPERLINK("http://www.lxhausys.co.kr/popup/rn/download/downloadPopup.jsp?from=plwindow&amp;uu=/upload/window/REPORT/LXH-EA24-011 F-250-466KGGS1R5.pdf","1등급"),IF(M11&lt;=1.2,HYPERLINK("http://www.lxhausys.co.kr/popup/rn/download/downloadPopup.jsp?from=plwindow&amp;uu=/upload/window/REPORT/LXH-EA24-011 F-250-466KGGS1R5.pdf","2등급"),IF(M11&lt;=1.8,HYPERLINK("http://www.lxhausys.co.kr/popup/rn/download/downloadPopup.jsp?from=plwindow&amp;uu=/upload/window/REPORT/LXH-EA24-011 F-250-466KGGS1R5.pdf","3등급"),IF(M11&lt;=2.3,HYPERLINK("http://www.lxhausys.co.kr/popup/rn/download/downloadPopup.jsp?from=plwindow&amp;uu=/upload/window/REPORT/LXH-EA24-011 F-250-466KGGS1R5.pdf","4등급"),IF(M11&lt;=2.8,HYPERLINK("http://www.lxhausys.co.kr/popup/rn/download/downloadPopup.jsp?from=plwindow&amp;uu=/upload/window/REPORT/LXH-EA24-011 F-250-466KGGS1R5.pdf","5등급"),HYPERLINK("http://www.lxhausys.co.kr/popup/rn/download/downloadPopup.jsp?from=plwindow&amp;uu=/upload/window/REPORT/LXH-TW22-015 S-124-222FFGL1R14.pdf","등급외"))))))</f>
        <v>1등급</v>
      </c>
      <c r="M11" s="45">
        <v>0.61099999999999999</v>
      </c>
      <c r="N11" s="45">
        <v>0.83</v>
      </c>
      <c r="O11" s="42" t="s">
        <v>19</v>
      </c>
      <c r="P11" s="42" t="s">
        <v>22</v>
      </c>
      <c r="Q11" s="42" t="s">
        <v>19</v>
      </c>
      <c r="R11" s="42" t="s">
        <v>19</v>
      </c>
      <c r="S11" s="42" t="s">
        <v>19</v>
      </c>
      <c r="T11" s="42" t="s">
        <v>19</v>
      </c>
      <c r="U11" s="42" t="s">
        <v>19</v>
      </c>
      <c r="V11" s="42" t="s">
        <v>19</v>
      </c>
      <c r="W11" s="42" t="s">
        <v>19</v>
      </c>
      <c r="X11" s="42" t="s">
        <v>75</v>
      </c>
    </row>
    <row r="12" spans="1:24">
      <c r="A12" s="42" t="s">
        <v>672</v>
      </c>
      <c r="B12" s="43" t="s">
        <v>790</v>
      </c>
      <c r="C12" s="42" t="s">
        <v>1087</v>
      </c>
      <c r="D12" s="42" t="s">
        <v>20</v>
      </c>
      <c r="E12" s="43" t="s">
        <v>1070</v>
      </c>
      <c r="F12" s="44"/>
      <c r="G12" s="43"/>
      <c r="H12" s="43"/>
      <c r="I12" s="43"/>
      <c r="J12" s="42" t="s">
        <v>1410</v>
      </c>
      <c r="K12" s="43" t="str">
        <f>VLOOKUP(C12,'[1]뷰프레임 전체_상세'!$B:$E,4,0)</f>
        <v>F-140-226FFGS1A5</v>
      </c>
      <c r="L12" s="52" t="str">
        <f>IF(M12&lt;=0.9,HYPERLINK("http://www.lxhausys.co.kr/popup/rn/download/downloadPopup.jsp?from=plwindow&amp;uu=/upload/window/REPORT/LXH-EA24-012 F-140-226FFGS1A5.pdf","1등급"),IF(M12&lt;=1.2,HYPERLINK("http://www.lxhausys.co.kr/popup/rn/download/downloadPopup.jsp?from=plwindow&amp;uu=/upload/window/REPORT/LXH-EA24-012 F-140-226FFGS1A5.pdf","2등급"),IF(M12&lt;=1.8,HYPERLINK("http://www.lxhausys.co.kr/popup/rn/download/downloadPopup.jsp?from=plwindow&amp;uu=/upload/window/REPORT/LXH-EA24-012 F-140-226FFGS1A5.pdf","3등급"),IF(M12&lt;=2.3,HYPERLINK("http://www.lxhausys.co.kr/popup/rn/download/downloadPopup.jsp?from=plwindow&amp;uu=/upload/window/REPORT/LXH-EA24-012 F-140-226FFGS1A5.pdf","4등급"),IF(M12&lt;=2.8,HYPERLINK("http://www.lxhausys.co.kr/popup/rn/download/downloadPopup.jsp?from=plwindow&amp;uu=/upload/window/REPORT/LXH-EA24-012 F-140-226FFGS1A5.pdf","5등급"),HYPERLINK("http://www.lxhausys.co.kr/popup/rn/download/downloadPopup.jsp?from=plwindow&amp;uu=/upload/window/REPORT/LXH-TW22-015 S-124-222FFGL1R15.pdf","등급외"))))))</f>
        <v>4등급</v>
      </c>
      <c r="M12" s="45">
        <v>1.89</v>
      </c>
      <c r="N12" s="45">
        <v>1.58</v>
      </c>
      <c r="O12" s="42" t="s">
        <v>19</v>
      </c>
      <c r="P12" s="42" t="s">
        <v>103</v>
      </c>
      <c r="Q12" s="42" t="s">
        <v>19</v>
      </c>
      <c r="R12" s="42" t="s">
        <v>19</v>
      </c>
      <c r="S12" s="42" t="s">
        <v>19</v>
      </c>
      <c r="T12" s="42" t="s">
        <v>19</v>
      </c>
      <c r="U12" s="42" t="s">
        <v>19</v>
      </c>
      <c r="V12" s="42" t="s">
        <v>19</v>
      </c>
      <c r="W12" s="42" t="s">
        <v>19</v>
      </c>
      <c r="X12" s="42" t="s">
        <v>75</v>
      </c>
    </row>
    <row r="13" spans="1:24">
      <c r="A13" s="42" t="s">
        <v>672</v>
      </c>
      <c r="B13" s="43" t="s">
        <v>791</v>
      </c>
      <c r="C13" s="42" t="s">
        <v>1088</v>
      </c>
      <c r="D13" s="42" t="s">
        <v>20</v>
      </c>
      <c r="E13" s="43" t="s">
        <v>1071</v>
      </c>
      <c r="F13" s="44"/>
      <c r="G13" s="43"/>
      <c r="H13" s="43"/>
      <c r="I13" s="43"/>
      <c r="J13" s="42" t="s">
        <v>1410</v>
      </c>
      <c r="K13" s="43" t="str">
        <f>VLOOKUP(C13,'[1]뷰프레임 전체_상세'!$B:$E,4,0)</f>
        <v>F-140-226FFGS1R5</v>
      </c>
      <c r="L13" s="52" t="str">
        <f>IF(M13&lt;=0.9,HYPERLINK("http://www.lxhausys.co.kr/popup/rn/download/downloadPopup.jsp?from=plwindow&amp;uu=/upload/window/REPORT/LXH-EA24-013 F-140-226FFGS1R5.pdf","1등급"),IF(M13&lt;=1.2,HYPERLINK("http://www.lxhausys.co.kr/popup/rn/download/downloadPopup.jsp?from=plwindow&amp;uu=/upload/window/REPORT/LXH-EA24-013 F-140-226FFGS1R5.pdf","2등급"),IF(M13&lt;=1.8,HYPERLINK("http://www.lxhausys.co.kr/popup/rn/download/downloadPopup.jsp?from=plwindow&amp;uu=/upload/window/REPORT/LXH-EA24-013 F-140-226FFGS1R5.pdf","3등급"),IF(M13&lt;=2.3,HYPERLINK("http://www.lxhausys.co.kr/popup/rn/download/downloadPopup.jsp?from=plwindow&amp;uu=/upload/window/REPORT/LXH-EA24-013 F-140-226FFGS1R5.pdf","4등급"),IF(M13&lt;=2.8,HYPERLINK("http://www.lxhausys.co.kr/popup/rn/download/downloadPopup.jsp?from=plwindow&amp;uu=/upload/window/REPORT/LXH-EA24-013 F-140-226FFGS1R5.pdf","5등급"),HYPERLINK("http://www.lxhausys.co.kr/popup/rn/download/downloadPopup.jsp?from=plwindow&amp;uu=/upload/window/REPORT/LXH-TW22-015 S-124-222FFGL1R16.pdf","등급외"))))))</f>
        <v>3등급</v>
      </c>
      <c r="M13" s="45">
        <v>1.6890000000000001</v>
      </c>
      <c r="N13" s="45">
        <v>1.57</v>
      </c>
      <c r="O13" s="42" t="s">
        <v>19</v>
      </c>
      <c r="P13" s="42" t="s">
        <v>103</v>
      </c>
      <c r="Q13" s="42" t="s">
        <v>19</v>
      </c>
      <c r="R13" s="42" t="s">
        <v>19</v>
      </c>
      <c r="S13" s="42" t="s">
        <v>19</v>
      </c>
      <c r="T13" s="42" t="s">
        <v>19</v>
      </c>
      <c r="U13" s="42" t="s">
        <v>19</v>
      </c>
      <c r="V13" s="42" t="s">
        <v>19</v>
      </c>
      <c r="W13" s="42" t="s">
        <v>19</v>
      </c>
      <c r="X13" s="42" t="s">
        <v>75</v>
      </c>
    </row>
    <row r="14" spans="1:24">
      <c r="A14" s="42" t="s">
        <v>674</v>
      </c>
      <c r="B14" s="43" t="s">
        <v>792</v>
      </c>
      <c r="C14" s="42" t="s">
        <v>1089</v>
      </c>
      <c r="D14" s="42" t="s">
        <v>20</v>
      </c>
      <c r="E14" s="43" t="s">
        <v>719</v>
      </c>
      <c r="F14" s="44"/>
      <c r="G14" s="43"/>
      <c r="H14" s="43"/>
      <c r="I14" s="43"/>
      <c r="J14" s="42" t="s">
        <v>1410</v>
      </c>
      <c r="K14" s="43" t="str">
        <f>VLOOKUP(C14,'[1]뷰프레임 전체_상세'!$B:$E,4,0)</f>
        <v>F-230W-226FFKG1R5</v>
      </c>
      <c r="L14" s="52" t="str">
        <f>IF(M14&lt;=0.9,HYPERLINK("http://www.lxhausys.co.kr/popup/rn/download/downloadPopup.jsp?from=plwindow&amp;uu=/upload/window/REPORT/LXH-EA24-014 F-230W-226FFKG1R5.pdf","1등급"),IF(M14&lt;=1.2,HYPERLINK("http://www.lxhausys.co.kr/popup/rn/download/downloadPopup.jsp?from=plwindow&amp;uu=/upload/window/REPORT/LXH-EA24-014 F-230W-226FFKG1R5.pdf","2등급"),IF(M14&lt;=1.8,HYPERLINK("http://www.lxhausys.co.kr/popup/rn/download/downloadPopup.jsp?from=plwindow&amp;uu=/upload/window/REPORT/LXH-EA24-014 F-230W-226FFKG1R5.pdf","3등급"),IF(M14&lt;=2.3,HYPERLINK("http://www.lxhausys.co.kr/popup/rn/download/downloadPopup.jsp?from=plwindow&amp;uu=/upload/window/REPORT/LXH-EA24-014 F-230W-226FFKG1R5.pdf","4등급"),IF(M14&lt;=2.8,HYPERLINK("http://www.lxhausys.co.kr/popup/rn/download/downloadPopup.jsp?from=plwindow&amp;uu=/upload/window/REPORT/LXH-EA24-014 F-230W-226FFKG1R5.pdf","5등급"),HYPERLINK("http://www.lxhausys.co.kr/popup/rn/download/downloadPopup.jsp?from=plwindow&amp;uu=/upload/window/REPORT/LXH-TW22-015 S-124-222FFGL1R17.pdf","등급외"))))))</f>
        <v>3등급</v>
      </c>
      <c r="M14" s="45">
        <v>1.52</v>
      </c>
      <c r="N14" s="45">
        <v>1.53</v>
      </c>
      <c r="O14" s="42" t="s">
        <v>19</v>
      </c>
      <c r="P14" s="42" t="s">
        <v>103</v>
      </c>
      <c r="Q14" s="42" t="s">
        <v>19</v>
      </c>
      <c r="R14" s="42" t="s">
        <v>19</v>
      </c>
      <c r="S14" s="42" t="s">
        <v>19</v>
      </c>
      <c r="T14" s="42" t="s">
        <v>19</v>
      </c>
      <c r="U14" s="42" t="s">
        <v>19</v>
      </c>
      <c r="V14" s="42" t="s">
        <v>19</v>
      </c>
      <c r="W14" s="42" t="s">
        <v>19</v>
      </c>
      <c r="X14" s="42" t="s">
        <v>75</v>
      </c>
    </row>
    <row r="15" spans="1:24">
      <c r="A15" s="42" t="s">
        <v>675</v>
      </c>
      <c r="B15" s="43" t="s">
        <v>793</v>
      </c>
      <c r="C15" s="42" t="s">
        <v>1090</v>
      </c>
      <c r="D15" s="42" t="s">
        <v>20</v>
      </c>
      <c r="E15" s="43" t="s">
        <v>719</v>
      </c>
      <c r="F15" s="44"/>
      <c r="G15" s="43"/>
      <c r="H15" s="43"/>
      <c r="I15" s="43"/>
      <c r="J15" s="42" t="s">
        <v>1410</v>
      </c>
      <c r="K15" s="43" t="str">
        <f>VLOOKUP(C15,'[1]뷰프레임 전체_상세'!$B:$E,4,0)</f>
        <v>F-230WF-226FFKG1R5</v>
      </c>
      <c r="L15" s="52" t="str">
        <f>IF(M15&lt;=0.9,HYPERLINK("http://www.lxhausys.co.kr/popup/rn/download/downloadPopup.jsp?from=plwindow&amp;uu=/upload/window/REPORT/LXH-EA24-015 F-230WF-226FFKG1R5.pdf","1등급"),IF(M15&lt;=1.2,HYPERLINK("http://www.lxhausys.co.kr/popup/rn/download/downloadPopup.jsp?from=plwindow&amp;uu=/upload/window/REPORT/LXH-EA24-015 F-230WF-226FFKG1R5.pdf","2등급"),IF(M15&lt;=1.8,HYPERLINK("http://www.lxhausys.co.kr/popup/rn/download/downloadPopup.jsp?from=plwindow&amp;uu=/upload/window/REPORT/LXH-EA24-015 F-230WF-226FFKG1R5.pdf","3등급"),IF(M15&lt;=2.3,HYPERLINK("http://www.lxhausys.co.kr/popup/rn/download/downloadPopup.jsp?from=plwindow&amp;uu=/upload/window/REPORT/LXH-EA24-015 F-230WF-226FFKG1R5.pdf","4등급"),IF(M15&lt;=2.8,HYPERLINK("http://www.lxhausys.co.kr/popup/rn/download/downloadPopup.jsp?from=plwindow&amp;uu=/upload/window/REPORT/LXH-EA24-015 F-230WF-226FFKG1R5.pdf","5등급"),HYPERLINK("http://www.lxhausys.co.kr/popup/rn/download/downloadPopup.jsp?from=plwindow&amp;uu=/upload/window/REPORT/LXH-TW22-015 S-124-222FFGL1R18.pdf","등급외"))))))</f>
        <v>3등급</v>
      </c>
      <c r="M15" s="45">
        <v>1.57</v>
      </c>
      <c r="N15" s="45">
        <v>1.84</v>
      </c>
      <c r="O15" s="42" t="s">
        <v>19</v>
      </c>
      <c r="P15" s="42" t="s">
        <v>103</v>
      </c>
      <c r="Q15" s="42" t="s">
        <v>19</v>
      </c>
      <c r="R15" s="42" t="s">
        <v>19</v>
      </c>
      <c r="S15" s="42" t="s">
        <v>19</v>
      </c>
      <c r="T15" s="42" t="s">
        <v>19</v>
      </c>
      <c r="U15" s="42" t="s">
        <v>19</v>
      </c>
      <c r="V15" s="42" t="s">
        <v>19</v>
      </c>
      <c r="W15" s="42" t="s">
        <v>19</v>
      </c>
      <c r="X15" s="42" t="s">
        <v>75</v>
      </c>
    </row>
    <row r="16" spans="1:24">
      <c r="A16" s="42" t="s">
        <v>676</v>
      </c>
      <c r="B16" s="43" t="s">
        <v>794</v>
      </c>
      <c r="C16" s="42" t="s">
        <v>1091</v>
      </c>
      <c r="D16" s="42" t="s">
        <v>20</v>
      </c>
      <c r="E16" s="43" t="s">
        <v>731</v>
      </c>
      <c r="F16" s="44" t="s">
        <v>746</v>
      </c>
      <c r="G16" s="43"/>
      <c r="H16" s="43"/>
      <c r="I16" s="43"/>
      <c r="J16" s="42" t="s">
        <v>1410</v>
      </c>
      <c r="K16" s="43" t="str">
        <f>VLOOKUP(C16,'[1]뷰프레임 전체_상세'!$B:$E,4,0)</f>
        <v>F-265-466GGGS2A5</v>
      </c>
      <c r="L16" s="52" t="str">
        <f>IF(M16&lt;=0.9,HYPERLINK("http://www.lxhausys.co.kr/popup/rn/download/downloadPopup.jsp?from=plwindow&amp;uu=/upload/window/REPORT/LXH-EA24-016 F-265-466GGGS2A5.pdf","1등급"),IF(M16&lt;=1.2,HYPERLINK("http://www.lxhausys.co.kr/popup/rn/download/downloadPopup.jsp?from=plwindow&amp;uu=/upload/window/REPORT/LXH-EA24-016 F-265-466GGGS2A5.pdf","2등급"),IF(M16&lt;=1.8,HYPERLINK("http://www.lxhausys.co.kr/popup/rn/download/downloadPopup.jsp?from=plwindow&amp;uu=/upload/window/REPORT/LXH-EA24-016 F-265-466GGGS2A5.pdf","3등급"),IF(M16&lt;=2.3,HYPERLINK("http://www.lxhausys.co.kr/popup/rn/download/downloadPopup.jsp?from=plwindow&amp;uu=/upload/window/REPORT/LXH-EA24-016 F-265-466GGGS2A5.pdf","4등급"),IF(M16&lt;=2.8,HYPERLINK("http://www.lxhausys.co.kr/popup/rn/download/downloadPopup.jsp?from=plwindow&amp;uu=/upload/window/REPORT/LXH-EA24-016 F-265-466GGGS2A5.pdf","5등급"),HYPERLINK("http://www.lxhausys.co.kr/popup/rn/download/downloadPopup.jsp?from=plwindow&amp;uu=/upload/window/REPORT/LXH-TW22-015 S-124-222FFGL1R19.pdf","등급외"))))))</f>
        <v>1등급</v>
      </c>
      <c r="M16" s="45">
        <v>0.85499999999999998</v>
      </c>
      <c r="N16" s="45">
        <v>0.81</v>
      </c>
      <c r="O16" s="42" t="s">
        <v>19</v>
      </c>
      <c r="P16" s="42" t="s">
        <v>22</v>
      </c>
      <c r="Q16" s="42" t="s">
        <v>19</v>
      </c>
      <c r="R16" s="42" t="s">
        <v>19</v>
      </c>
      <c r="S16" s="42" t="s">
        <v>19</v>
      </c>
      <c r="T16" s="42" t="s">
        <v>19</v>
      </c>
      <c r="U16" s="42" t="s">
        <v>19</v>
      </c>
      <c r="V16" s="42" t="s">
        <v>19</v>
      </c>
      <c r="W16" s="42" t="s">
        <v>19</v>
      </c>
      <c r="X16" s="42" t="s">
        <v>75</v>
      </c>
    </row>
    <row r="17" spans="1:24">
      <c r="A17" s="42" t="s">
        <v>677</v>
      </c>
      <c r="B17" s="43" t="s">
        <v>795</v>
      </c>
      <c r="C17" s="42" t="s">
        <v>1092</v>
      </c>
      <c r="D17" s="42" t="s">
        <v>20</v>
      </c>
      <c r="E17" s="43" t="s">
        <v>732</v>
      </c>
      <c r="F17" s="44" t="s">
        <v>744</v>
      </c>
      <c r="G17" s="43"/>
      <c r="H17" s="43"/>
      <c r="I17" s="43"/>
      <c r="J17" s="42" t="s">
        <v>1410</v>
      </c>
      <c r="K17" s="43" t="str">
        <f>VLOOKUP(C17,'[1]뷰프레임 전체_상세'!$B:$E,4,0)</f>
        <v>F-285-466KGGS2R5</v>
      </c>
      <c r="L17" s="52" t="str">
        <f>IF(M17&lt;=0.9,HYPERLINK("http://www.lxhausys.co.kr/popup/rn/download/downloadPopup.jsp?from=plwindow&amp;uu=/upload/window/REPORT/LXH-EA24-017 F-285-466KGGS2R5.pdf","1등급"),IF(M17&lt;=1.2,HYPERLINK("http://www.lxhausys.co.kr/popup/rn/download/downloadPopup.jsp?from=plwindow&amp;uu=/upload/window/REPORT/LXH-EA24-017 F-285-466KGGS2R5.pdf","2등급"),IF(M17&lt;=1.8,HYPERLINK("http://www.lxhausys.co.kr/popup/rn/download/downloadPopup.jsp?from=plwindow&amp;uu=/upload/window/REPORT/LXH-EA24-017 F-285-466KGGS2R5.pdf","3등급"),IF(M17&lt;=2.3,HYPERLINK("http://www.lxhausys.co.kr/popup/rn/download/downloadPopup.jsp?from=plwindow&amp;uu=/upload/window/REPORT/LXH-EA24-017 F-285-466KGGS2R5.pdf","4등급"),IF(M17&lt;=2.8,HYPERLINK("http://www.lxhausys.co.kr/popup/rn/download/downloadPopup.jsp?from=plwindow&amp;uu=/upload/window/REPORT/LXH-EA24-017 F-285-466KGGS2R5.pdf","5등급"),HYPERLINK("http://www.lxhausys.co.kr/popup/rn/download/downloadPopup.jsp?from=plwindow&amp;uu=/upload/window/REPORT/LXH-TW22-015 S-124-222FFGL1R20.pdf","등급외"))))))</f>
        <v>1등급</v>
      </c>
      <c r="M17" s="45">
        <v>0.52300000000000002</v>
      </c>
      <c r="N17" s="45">
        <v>0.84</v>
      </c>
      <c r="O17" s="42" t="s">
        <v>19</v>
      </c>
      <c r="P17" s="42" t="s">
        <v>22</v>
      </c>
      <c r="Q17" s="42" t="s">
        <v>19</v>
      </c>
      <c r="R17" s="42" t="s">
        <v>19</v>
      </c>
      <c r="S17" s="42" t="s">
        <v>19</v>
      </c>
      <c r="T17" s="42" t="s">
        <v>19</v>
      </c>
      <c r="U17" s="42" t="s">
        <v>19</v>
      </c>
      <c r="V17" s="42" t="s">
        <v>19</v>
      </c>
      <c r="W17" s="42" t="s">
        <v>19</v>
      </c>
      <c r="X17" s="42" t="s">
        <v>75</v>
      </c>
    </row>
    <row r="18" spans="1:24">
      <c r="A18" s="42" t="s">
        <v>677</v>
      </c>
      <c r="B18" s="43" t="s">
        <v>796</v>
      </c>
      <c r="C18" s="42" t="s">
        <v>1093</v>
      </c>
      <c r="D18" s="42" t="s">
        <v>20</v>
      </c>
      <c r="E18" s="43" t="s">
        <v>730</v>
      </c>
      <c r="F18" s="44" t="s">
        <v>743</v>
      </c>
      <c r="G18" s="43"/>
      <c r="H18" s="43"/>
      <c r="I18" s="43"/>
      <c r="J18" s="42" t="s">
        <v>1410</v>
      </c>
      <c r="K18" s="43" t="str">
        <f>VLOOKUP(C18,'[1]뷰프레임 전체_상세'!$B:$E,4,0)</f>
        <v>F-285-466KGGG2A5</v>
      </c>
      <c r="L18" s="52" t="str">
        <f>IF(M18&lt;=0.9,HYPERLINK("http://www.lxhausys.co.kr/popup/rn/download/downloadPopup.jsp?from=plwindow&amp;uu=/upload/window/REPORT/LXH-EA24-018 F-285-466KGGG2A5.pdf","1등급"),IF(M18&lt;=1.2,HYPERLINK("http://www.lxhausys.co.kr/popup/rn/download/downloadPopup.jsp?from=plwindow&amp;uu=/upload/window/REPORT/LXH-EA24-018 F-285-466KGGG2A5.pdf","2등급"),IF(M18&lt;=1.8,HYPERLINK("http://www.lxhausys.co.kr/popup/rn/download/downloadPopup.jsp?from=plwindow&amp;uu=/upload/window/REPORT/LXH-EA24-018 F-285-466KGGG2A5.pdf","3등급"),IF(M18&lt;=2.3,HYPERLINK("http://www.lxhausys.co.kr/popup/rn/download/downloadPopup.jsp?from=plwindow&amp;uu=/upload/window/REPORT/LXH-EA24-018 F-285-466KGGG2A5.pdf","4등급"),IF(M18&lt;=2.8,HYPERLINK("http://www.lxhausys.co.kr/popup/rn/download/downloadPopup.jsp?from=plwindow&amp;uu=/upload/window/REPORT/LXH-EA24-018 F-285-466KGGG2A5.pdf","5등급"),HYPERLINK("http://www.lxhausys.co.kr/popup/rn/download/downloadPopup.jsp?from=plwindow&amp;uu=/upload/window/REPORT/LXH-TW22-015 S-124-222FFGL1R21.pdf","등급외"))))))</f>
        <v>1등급</v>
      </c>
      <c r="M18" s="45">
        <v>0.86</v>
      </c>
      <c r="N18" s="45">
        <v>0.83</v>
      </c>
      <c r="O18" s="42" t="s">
        <v>19</v>
      </c>
      <c r="P18" s="42" t="s">
        <v>22</v>
      </c>
      <c r="Q18" s="42" t="s">
        <v>19</v>
      </c>
      <c r="R18" s="42" t="s">
        <v>19</v>
      </c>
      <c r="S18" s="42" t="s">
        <v>19</v>
      </c>
      <c r="T18" s="42" t="s">
        <v>19</v>
      </c>
      <c r="U18" s="42" t="s">
        <v>19</v>
      </c>
      <c r="V18" s="42" t="s">
        <v>19</v>
      </c>
      <c r="W18" s="42" t="s">
        <v>19</v>
      </c>
      <c r="X18" s="42" t="s">
        <v>75</v>
      </c>
    </row>
    <row r="19" spans="1:24">
      <c r="A19" s="42" t="s">
        <v>677</v>
      </c>
      <c r="B19" s="43" t="s">
        <v>797</v>
      </c>
      <c r="C19" s="42" t="s">
        <v>1094</v>
      </c>
      <c r="D19" s="42" t="s">
        <v>20</v>
      </c>
      <c r="E19" s="43" t="s">
        <v>732</v>
      </c>
      <c r="F19" s="44" t="s">
        <v>743</v>
      </c>
      <c r="G19" s="43"/>
      <c r="H19" s="43"/>
      <c r="I19" s="43"/>
      <c r="J19" s="42" t="s">
        <v>1410</v>
      </c>
      <c r="K19" s="43" t="str">
        <f>VLOOKUP(C19,'[1]뷰프레임 전체_상세'!$B:$E,4,0)</f>
        <v>F-285-466KGGG1R5</v>
      </c>
      <c r="L19" s="52" t="str">
        <f>IF(M19&lt;=0.9,HYPERLINK("http://www.lxhausys.co.kr/popup/rn/download/downloadPopup.jsp?from=plwindow&amp;uu=/upload/window/REPORT/LXH-EA24-019 F-285-466KGGG1R5.pdf","1등급"),IF(M19&lt;=1.2,HYPERLINK("http://www.lxhausys.co.kr/popup/rn/download/downloadPopup.jsp?from=plwindow&amp;uu=/upload/window/REPORT/LXH-EA24-019 F-285-466KGGG1R5.pdf","2등급"),IF(M19&lt;=1.8,HYPERLINK("http://www.lxhausys.co.kr/popup/rn/download/downloadPopup.jsp?from=plwindow&amp;uu=/upload/window/REPORT/LXH-EA24-019 F-285-466KGGG1R5.pdf","3등급"),IF(M19&lt;=2.3,HYPERLINK("http://www.lxhausys.co.kr/popup/rn/download/downloadPopup.jsp?from=plwindow&amp;uu=/upload/window/REPORT/LXH-EA24-019 F-285-466KGGG1R5.pdf","4등급"),IF(M19&lt;=2.8,HYPERLINK("http://www.lxhausys.co.kr/popup/rn/download/downloadPopup.jsp?from=plwindow&amp;uu=/upload/window/REPORT/LXH-EA24-019 F-285-466KGGG1R5.pdf","5등급"),HYPERLINK("http://www.lxhausys.co.kr/popup/rn/download/downloadPopup.jsp?from=plwindow&amp;uu=/upload/window/REPORT/LXH-TW22-015 S-124-222FFGL1R22.pdf","등급외"))))))</f>
        <v>1등급</v>
      </c>
      <c r="M19" s="45">
        <v>0.76700000000000002</v>
      </c>
      <c r="N19" s="45">
        <v>0.82</v>
      </c>
      <c r="O19" s="42" t="s">
        <v>19</v>
      </c>
      <c r="P19" s="42" t="s">
        <v>22</v>
      </c>
      <c r="Q19" s="42" t="s">
        <v>19</v>
      </c>
      <c r="R19" s="42" t="s">
        <v>19</v>
      </c>
      <c r="S19" s="42" t="s">
        <v>19</v>
      </c>
      <c r="T19" s="42" t="s">
        <v>19</v>
      </c>
      <c r="U19" s="42" t="s">
        <v>19</v>
      </c>
      <c r="V19" s="42" t="s">
        <v>19</v>
      </c>
      <c r="W19" s="42" t="s">
        <v>19</v>
      </c>
      <c r="X19" s="42" t="s">
        <v>75</v>
      </c>
    </row>
    <row r="20" spans="1:24">
      <c r="A20" s="42" t="s">
        <v>676</v>
      </c>
      <c r="B20" s="43" t="s">
        <v>798</v>
      </c>
      <c r="C20" s="42" t="s">
        <v>1095</v>
      </c>
      <c r="D20" s="42" t="s">
        <v>20</v>
      </c>
      <c r="E20" s="43" t="s">
        <v>732</v>
      </c>
      <c r="F20" s="44" t="s">
        <v>743</v>
      </c>
      <c r="G20" s="43"/>
      <c r="H20" s="43"/>
      <c r="I20" s="43"/>
      <c r="J20" s="42" t="s">
        <v>1410</v>
      </c>
      <c r="K20" s="43" t="str">
        <f>VLOOKUP(C20,'[1]뷰프레임 전체_상세'!$B:$E,4,0)</f>
        <v>F-265-466KGGG1R5</v>
      </c>
      <c r="L20" s="52" t="str">
        <f>IF(M20&lt;=0.9,HYPERLINK("http://www.lxhausys.co.kr/popup/rn/download/downloadPopup.jsp?from=plwindow&amp;uu=/upload/window/REPORT/LXH-EA24-020 F-265-466KGGG1R5.pdf","1등급"),IF(M20&lt;=1.2,HYPERLINK("http://www.lxhausys.co.kr/popup/rn/download/downloadPopup.jsp?from=plwindow&amp;uu=/upload/window/REPORT/LXH-EA24-020 F-265-466KGGG1R5.pdf","2등급"),IF(M20&lt;=1.8,HYPERLINK("http://www.lxhausys.co.kr/popup/rn/download/downloadPopup.jsp?from=plwindow&amp;uu=/upload/window/REPORT/LXH-EA24-020 F-265-466KGGG1R5.pdf","3등급"),IF(M20&lt;=2.3,HYPERLINK("http://www.lxhausys.co.kr/popup/rn/download/downloadPopup.jsp?from=plwindow&amp;uu=/upload/window/REPORT/LXH-EA24-020 F-265-466KGGG1R5.pdf","4등급"),IF(M20&lt;=2.8,HYPERLINK("http://www.lxhausys.co.kr/popup/rn/download/downloadPopup.jsp?from=plwindow&amp;uu=/upload/window/REPORT/LXH-EA24-020 F-265-466KGGG1R5.pdf","5등급"),HYPERLINK("http://www.lxhausys.co.kr/popup/rn/download/downloadPopup.jsp?from=plwindow&amp;uu=/upload/window/REPORT/LXH-TW22-015 S-124-222FFGL1R23.pdf","등급외"))))))</f>
        <v>1등급</v>
      </c>
      <c r="M20" s="45">
        <v>0.76800000000000002</v>
      </c>
      <c r="N20" s="45">
        <v>0.83</v>
      </c>
      <c r="O20" s="42" t="s">
        <v>19</v>
      </c>
      <c r="P20" s="42" t="s">
        <v>22</v>
      </c>
      <c r="Q20" s="42" t="s">
        <v>19</v>
      </c>
      <c r="R20" s="42" t="s">
        <v>19</v>
      </c>
      <c r="S20" s="42" t="s">
        <v>19</v>
      </c>
      <c r="T20" s="42" t="s">
        <v>19</v>
      </c>
      <c r="U20" s="42" t="s">
        <v>19</v>
      </c>
      <c r="V20" s="42" t="s">
        <v>19</v>
      </c>
      <c r="W20" s="42" t="s">
        <v>19</v>
      </c>
      <c r="X20" s="42" t="s">
        <v>75</v>
      </c>
    </row>
    <row r="21" spans="1:24">
      <c r="A21" s="42" t="s">
        <v>676</v>
      </c>
      <c r="B21" s="43" t="s">
        <v>799</v>
      </c>
      <c r="C21" s="42" t="s">
        <v>1096</v>
      </c>
      <c r="D21" s="42" t="s">
        <v>20</v>
      </c>
      <c r="E21" s="43" t="s">
        <v>731</v>
      </c>
      <c r="F21" s="44" t="s">
        <v>744</v>
      </c>
      <c r="G21" s="43"/>
      <c r="H21" s="43"/>
      <c r="I21" s="43"/>
      <c r="J21" s="42" t="s">
        <v>1410</v>
      </c>
      <c r="K21" s="43" t="str">
        <f>VLOOKUP(C21,'[1]뷰프레임 전체_상세'!$B:$E,4,0)</f>
        <v>F-265-466GGGS1R5</v>
      </c>
      <c r="L21" s="52" t="str">
        <f>IF(M21&lt;=0.9,HYPERLINK("http://www.lxhausys.co.kr/popup/rn/download/downloadPopup.jsp?from=plwindow&amp;uu=/upload/window/REPORT/LXH-EA24-021 F-265-466GGGS1R5.pdf","1등급"),IF(M21&lt;=1.2,HYPERLINK("http://www.lxhausys.co.kr/popup/rn/download/downloadPopup.jsp?from=plwindow&amp;uu=/upload/window/REPORT/LXH-EA24-021 F-265-466GGGS1R5.pdf","2등급"),IF(M21&lt;=1.8,HYPERLINK("http://www.lxhausys.co.kr/popup/rn/download/downloadPopup.jsp?from=plwindow&amp;uu=/upload/window/REPORT/LXH-EA24-021 F-265-466GGGS1R5.pdf","3등급"),IF(M21&lt;=2.3,HYPERLINK("http://www.lxhausys.co.kr/popup/rn/download/downloadPopup.jsp?from=plwindow&amp;uu=/upload/window/REPORT/LXH-EA24-021 F-265-466GGGS1R5.pdf","4등급"),IF(M21&lt;=2.8,HYPERLINK("http://www.lxhausys.co.kr/popup/rn/download/downloadPopup.jsp?from=plwindow&amp;uu=/upload/window/REPORT/LXH-EA24-021 F-265-466GGGS1R5.pdf","5등급"),HYPERLINK("http://www.lxhausys.co.kr/popup/rn/download/downloadPopup.jsp?from=plwindow&amp;uu=/upload/window/REPORT/LXH-TW22-015 S-124-222FFGL1R24.pdf","등급외"))))))</f>
        <v>1등급</v>
      </c>
      <c r="M21" s="45">
        <v>0.76500000000000001</v>
      </c>
      <c r="N21" s="45">
        <v>0.83</v>
      </c>
      <c r="O21" s="42" t="s">
        <v>19</v>
      </c>
      <c r="P21" s="42" t="s">
        <v>22</v>
      </c>
      <c r="Q21" s="42" t="s">
        <v>19</v>
      </c>
      <c r="R21" s="42" t="s">
        <v>19</v>
      </c>
      <c r="S21" s="42" t="s">
        <v>19</v>
      </c>
      <c r="T21" s="42" t="s">
        <v>19</v>
      </c>
      <c r="U21" s="42" t="s">
        <v>19</v>
      </c>
      <c r="V21" s="42" t="s">
        <v>19</v>
      </c>
      <c r="W21" s="42" t="s">
        <v>19</v>
      </c>
      <c r="X21" s="42" t="s">
        <v>75</v>
      </c>
    </row>
    <row r="22" spans="1:24">
      <c r="A22" s="42" t="s">
        <v>677</v>
      </c>
      <c r="B22" s="43" t="s">
        <v>800</v>
      </c>
      <c r="C22" s="42" t="s">
        <v>1097</v>
      </c>
      <c r="D22" s="42" t="s">
        <v>20</v>
      </c>
      <c r="E22" s="43" t="s">
        <v>733</v>
      </c>
      <c r="F22" s="44" t="s">
        <v>745</v>
      </c>
      <c r="G22" s="43"/>
      <c r="H22" s="43"/>
      <c r="I22" s="43"/>
      <c r="J22" s="42" t="s">
        <v>1410</v>
      </c>
      <c r="K22" s="43" t="str">
        <f>VLOOKUP(C22,'[1]뷰프레임 전체_상세'!$B:$E,4,0)</f>
        <v>F-285-488KGGS2R5</v>
      </c>
      <c r="L22" s="52" t="str">
        <f>IF(M22&lt;=0.9,HYPERLINK("http://www.lxhausys.co.kr/popup/rn/download/downloadPopup.jsp?from=plwindow&amp;uu=/upload/window/REPORT/LXH-EA24-022 F-285-488KGGS2R5.pdf","1등급"),IF(M22&lt;=1.2,HYPERLINK("http://www.lxhausys.co.kr/popup/rn/download/downloadPopup.jsp?from=plwindow&amp;uu=/upload/window/REPORT/LXH-EA24-022 F-285-488KGGS2R5.pdf","2등급"),IF(M22&lt;=1.8,HYPERLINK("http://www.lxhausys.co.kr/popup/rn/download/downloadPopup.jsp?from=plwindow&amp;uu=/upload/window/REPORT/LXH-EA24-022 F-285-488KGGS2R5.pdf","3등급"),IF(M22&lt;=2.3,HYPERLINK("http://www.lxhausys.co.kr/popup/rn/download/downloadPopup.jsp?from=plwindow&amp;uu=/upload/window/REPORT/LXH-EA24-022 F-285-488KGGS2R5.pdf","4등급"),IF(M22&lt;=2.8,HYPERLINK("http://www.lxhausys.co.kr/popup/rn/download/downloadPopup.jsp?from=plwindow&amp;uu=/upload/window/REPORT/LXH-EA24-022 F-285-488KGGS2R5.pdf","5등급"),HYPERLINK("http://www.lxhausys.co.kr/popup/rn/download/downloadPopup.jsp?from=plwindow&amp;uu=/upload/window/REPORT/LXH-TW22-015 S-124-222FFGL1R25.pdf","등급외"))))))</f>
        <v>1등급</v>
      </c>
      <c r="M22" s="45">
        <v>0.496</v>
      </c>
      <c r="N22" s="45">
        <v>0.83</v>
      </c>
      <c r="O22" s="42" t="s">
        <v>19</v>
      </c>
      <c r="P22" s="42" t="s">
        <v>22</v>
      </c>
      <c r="Q22" s="42" t="s">
        <v>19</v>
      </c>
      <c r="R22" s="42" t="s">
        <v>19</v>
      </c>
      <c r="S22" s="42" t="s">
        <v>19</v>
      </c>
      <c r="T22" s="42" t="s">
        <v>19</v>
      </c>
      <c r="U22" s="42" t="s">
        <v>19</v>
      </c>
      <c r="V22" s="42" t="s">
        <v>19</v>
      </c>
      <c r="W22" s="42" t="s">
        <v>19</v>
      </c>
      <c r="X22" s="42" t="s">
        <v>75</v>
      </c>
    </row>
    <row r="23" spans="1:24">
      <c r="A23" s="42" t="s">
        <v>677</v>
      </c>
      <c r="B23" s="43" t="s">
        <v>801</v>
      </c>
      <c r="C23" s="42" t="s">
        <v>1098</v>
      </c>
      <c r="D23" s="42" t="s">
        <v>20</v>
      </c>
      <c r="E23" s="43" t="s">
        <v>731</v>
      </c>
      <c r="F23" s="44" t="s">
        <v>746</v>
      </c>
      <c r="G23" s="43"/>
      <c r="H23" s="43"/>
      <c r="I23" s="43"/>
      <c r="J23" s="42" t="s">
        <v>1410</v>
      </c>
      <c r="K23" s="43" t="str">
        <f>VLOOKUP(C23,'[1]뷰프레임 전체_상세'!$B:$E,4,0)</f>
        <v>F-285-466GGGS2A5</v>
      </c>
      <c r="L23" s="52" t="str">
        <f>IF(M23&lt;=0.9,HYPERLINK("http://www.lxhausys.co.kr/popup/rn/download/downloadPopup.jsp?from=plwindow&amp;uu=/upload/window/REPORT/LXH-EA24-023 F-285-466GGGS2A5.pdf","1등급"),IF(M23&lt;=1.2,HYPERLINK("http://www.lxhausys.co.kr/popup/rn/download/downloadPopup.jsp?from=plwindow&amp;uu=/upload/window/REPORT/LXH-EA24-023 F-285-466GGGS2A5.pdf","2등급"),IF(M23&lt;=1.8,HYPERLINK("http://www.lxhausys.co.kr/popup/rn/download/downloadPopup.jsp?from=plwindow&amp;uu=/upload/window/REPORT/LXH-EA24-023 F-285-466GGGS2A5.pdf","3등급"),IF(M23&lt;=2.3,HYPERLINK("http://www.lxhausys.co.kr/popup/rn/download/downloadPopup.jsp?from=plwindow&amp;uu=/upload/window/REPORT/LXH-EA24-023 F-285-466GGGS2A5.pdf","4등급"),IF(M23&lt;=2.8,HYPERLINK("http://www.lxhausys.co.kr/popup/rn/download/downloadPopup.jsp?from=plwindow&amp;uu=/upload/window/REPORT/LXH-EA24-023 F-285-466GGGS2A5.pdf","5등급"),HYPERLINK("http://www.lxhausys.co.kr/popup/rn/download/downloadPopup.jsp?from=plwindow&amp;uu=/upload/window/REPORT/LXH-TW22-015 S-124-222FFGL1R26.pdf","등급외"))))))</f>
        <v>1등급</v>
      </c>
      <c r="M23" s="45">
        <v>0.85</v>
      </c>
      <c r="N23" s="45">
        <v>0.86</v>
      </c>
      <c r="O23" s="42" t="s">
        <v>19</v>
      </c>
      <c r="P23" s="42" t="s">
        <v>22</v>
      </c>
      <c r="Q23" s="42" t="s">
        <v>19</v>
      </c>
      <c r="R23" s="42" t="s">
        <v>19</v>
      </c>
      <c r="S23" s="42" t="s">
        <v>19</v>
      </c>
      <c r="T23" s="42" t="s">
        <v>19</v>
      </c>
      <c r="U23" s="42" t="s">
        <v>19</v>
      </c>
      <c r="V23" s="42" t="s">
        <v>19</v>
      </c>
      <c r="W23" s="42" t="s">
        <v>19</v>
      </c>
      <c r="X23" s="42" t="s">
        <v>75</v>
      </c>
    </row>
    <row r="24" spans="1:24">
      <c r="A24" s="42" t="s">
        <v>676</v>
      </c>
      <c r="B24" s="43" t="s">
        <v>802</v>
      </c>
      <c r="C24" s="42" t="s">
        <v>1099</v>
      </c>
      <c r="D24" s="42" t="s">
        <v>20</v>
      </c>
      <c r="E24" s="43" t="s">
        <v>730</v>
      </c>
      <c r="F24" s="44" t="s">
        <v>743</v>
      </c>
      <c r="G24" s="43"/>
      <c r="H24" s="43"/>
      <c r="I24" s="43"/>
      <c r="J24" s="42" t="s">
        <v>1410</v>
      </c>
      <c r="K24" s="43" t="str">
        <f>VLOOKUP(C24,'[1]뷰프레임 전체_상세'!$B:$E,4,0)</f>
        <v>F-265-466KGGG2A5</v>
      </c>
      <c r="L24" s="52" t="str">
        <f>IF(M24&lt;=0.9,HYPERLINK("http://www.lxhausys.co.kr/popup/rn/download/downloadPopup.jsp?from=plwindow&amp;uu=/upload/window/REPORT/LXH-EA24-024 F-265-466KGGG2A5.pdf","1등급"),IF(M24&lt;=1.2,HYPERLINK("http://www.lxhausys.co.kr/popup/rn/download/downloadPopup.jsp?from=plwindow&amp;uu=/upload/window/REPORT/LXH-EA24-024 F-265-466KGGG2A5.pdf","2등급"),IF(M24&lt;=1.8,HYPERLINK("http://www.lxhausys.co.kr/popup/rn/download/downloadPopup.jsp?from=plwindow&amp;uu=/upload/window/REPORT/LXH-EA24-024 F-265-466KGGG2A5.pdf","3등급"),IF(M24&lt;=2.3,HYPERLINK("http://www.lxhausys.co.kr/popup/rn/download/downloadPopup.jsp?from=plwindow&amp;uu=/upload/window/REPORT/LXH-EA24-024 F-265-466KGGG2A5.pdf","4등급"),IF(M24&lt;=2.8,HYPERLINK("http://www.lxhausys.co.kr/popup/rn/download/downloadPopup.jsp?from=plwindow&amp;uu=/upload/window/REPORT/LXH-EA24-024 F-265-466KGGG2A5.pdf","5등급"),HYPERLINK("http://www.lxhausys.co.kr/popup/rn/download/downloadPopup.jsp?from=plwindow&amp;uu=/upload/window/REPORT/LXH-TW22-015 S-124-222FFGL1R27.pdf","등급외"))))))</f>
        <v>1등급</v>
      </c>
      <c r="M24" s="45">
        <v>0.86599999999999999</v>
      </c>
      <c r="N24" s="45">
        <v>0.82</v>
      </c>
      <c r="O24" s="42" t="s">
        <v>19</v>
      </c>
      <c r="P24" s="42" t="s">
        <v>22</v>
      </c>
      <c r="Q24" s="42" t="s">
        <v>19</v>
      </c>
      <c r="R24" s="42" t="s">
        <v>19</v>
      </c>
      <c r="S24" s="42" t="s">
        <v>19</v>
      </c>
      <c r="T24" s="42" t="s">
        <v>19</v>
      </c>
      <c r="U24" s="42" t="s">
        <v>19</v>
      </c>
      <c r="V24" s="42" t="s">
        <v>19</v>
      </c>
      <c r="W24" s="42" t="s">
        <v>19</v>
      </c>
      <c r="X24" s="42" t="s">
        <v>75</v>
      </c>
    </row>
    <row r="25" spans="1:24">
      <c r="A25" s="42" t="s">
        <v>676</v>
      </c>
      <c r="B25" s="43" t="s">
        <v>803</v>
      </c>
      <c r="C25" s="42" t="s">
        <v>1100</v>
      </c>
      <c r="D25" s="42" t="s">
        <v>20</v>
      </c>
      <c r="E25" s="43" t="s">
        <v>733</v>
      </c>
      <c r="F25" s="44" t="s">
        <v>745</v>
      </c>
      <c r="G25" s="43"/>
      <c r="H25" s="43"/>
      <c r="I25" s="43"/>
      <c r="J25" s="42" t="s">
        <v>1410</v>
      </c>
      <c r="K25" s="43" t="str">
        <f>VLOOKUP(C25,'[1]뷰프레임 전체_상세'!$B:$E,4,0)</f>
        <v>F-265-488KGGS2R5</v>
      </c>
      <c r="L25" s="52" t="str">
        <f>IF(M25&lt;=0.9,HYPERLINK("http://www.lxhausys.co.kr/popup/rn/download/downloadPopup.jsp?from=plwindow&amp;uu=/upload/window/REPORT/LXH-EA24-025 F-265-488KGGS2R5.pdf","1등급"),IF(M25&lt;=1.2,HYPERLINK("http://www.lxhausys.co.kr/popup/rn/download/downloadPopup.jsp?from=plwindow&amp;uu=/upload/window/REPORT/LXH-EA24-025 F-265-488KGGS2R5.pdf","2등급"),IF(M25&lt;=1.8,HYPERLINK("http://www.lxhausys.co.kr/popup/rn/download/downloadPopup.jsp?from=plwindow&amp;uu=/upload/window/REPORT/LXH-EA24-025 F-265-488KGGS2R5.pdf","3등급"),IF(M25&lt;=2.3,HYPERLINK("http://www.lxhausys.co.kr/popup/rn/download/downloadPopup.jsp?from=plwindow&amp;uu=/upload/window/REPORT/LXH-EA24-025 F-265-488KGGS2R5.pdf","4등급"),IF(M25&lt;=2.8,HYPERLINK("http://www.lxhausys.co.kr/popup/rn/download/downloadPopup.jsp?from=plwindow&amp;uu=/upload/window/REPORT/LXH-EA24-025 F-265-488KGGS2R5.pdf","5등급"),HYPERLINK("http://www.lxhausys.co.kr/popup/rn/download/downloadPopup.jsp?from=plwindow&amp;uu=/upload/window/REPORT/LXH-TW22-015 S-124-222FFGL1R28.pdf","등급외"))))))</f>
        <v>1등급</v>
      </c>
      <c r="M25" s="45">
        <v>0.5</v>
      </c>
      <c r="N25" s="45">
        <v>0.8</v>
      </c>
      <c r="O25" s="42" t="s">
        <v>19</v>
      </c>
      <c r="P25" s="42" t="s">
        <v>22</v>
      </c>
      <c r="Q25" s="42" t="s">
        <v>19</v>
      </c>
      <c r="R25" s="42" t="s">
        <v>19</v>
      </c>
      <c r="S25" s="42" t="s">
        <v>19</v>
      </c>
      <c r="T25" s="42" t="s">
        <v>19</v>
      </c>
      <c r="U25" s="42" t="s">
        <v>19</v>
      </c>
      <c r="V25" s="42" t="s">
        <v>19</v>
      </c>
      <c r="W25" s="42" t="s">
        <v>19</v>
      </c>
      <c r="X25" s="42" t="s">
        <v>75</v>
      </c>
    </row>
    <row r="26" spans="1:24">
      <c r="A26" s="42" t="s">
        <v>677</v>
      </c>
      <c r="B26" s="43" t="s">
        <v>804</v>
      </c>
      <c r="C26" s="42" t="s">
        <v>1101</v>
      </c>
      <c r="D26" s="42" t="s">
        <v>20</v>
      </c>
      <c r="E26" s="43" t="s">
        <v>731</v>
      </c>
      <c r="F26" s="44" t="s">
        <v>744</v>
      </c>
      <c r="G26" s="43"/>
      <c r="H26" s="43"/>
      <c r="I26" s="43"/>
      <c r="J26" s="42" t="s">
        <v>1410</v>
      </c>
      <c r="K26" s="43" t="str">
        <f>VLOOKUP(C26,'[1]뷰프레임 전체_상세'!$B:$E,4,0)</f>
        <v>F-285-466GGGS1R5</v>
      </c>
      <c r="L26" s="52" t="str">
        <f>IF(M26&lt;=0.9,HYPERLINK("http://www.lxhausys.co.kr/popup/rn/download/downloadPopup.jsp?from=plwindow&amp;uu=/upload/window/REPORT/LXH-EA24-026 F-285-466GGGS1R5.pdf","1등급"),IF(M26&lt;=1.2,HYPERLINK("http://www.lxhausys.co.kr/popup/rn/download/downloadPopup.jsp?from=plwindow&amp;uu=/upload/window/REPORT/LXH-EA24-026 F-285-466GGGS1R5.pdf","2등급"),IF(M26&lt;=1.8,HYPERLINK("http://www.lxhausys.co.kr/popup/rn/download/downloadPopup.jsp?from=plwindow&amp;uu=/upload/window/REPORT/LXH-EA24-026 F-285-466GGGS1R5.pdf","3등급"),IF(M26&lt;=2.3,HYPERLINK("http://www.lxhausys.co.kr/popup/rn/download/downloadPopup.jsp?from=plwindow&amp;uu=/upload/window/REPORT/LXH-EA24-026 F-285-466GGGS1R5.pdf","4등급"),IF(M26&lt;=2.8,HYPERLINK("http://www.lxhausys.co.kr/popup/rn/download/downloadPopup.jsp?from=plwindow&amp;uu=/upload/window/REPORT/LXH-EA24-026 F-285-466GGGS1R5.pdf","5등급"),HYPERLINK("http://www.lxhausys.co.kr/popup/rn/download/downloadPopup.jsp?from=plwindow&amp;uu=/upload/window/REPORT/LXH-TW22-015 S-124-222FFGL1R29.pdf","등급외"))))))</f>
        <v>1등급</v>
      </c>
      <c r="M26" s="45">
        <v>0.76300000000000001</v>
      </c>
      <c r="N26" s="45">
        <v>0.84</v>
      </c>
      <c r="O26" s="42" t="s">
        <v>19</v>
      </c>
      <c r="P26" s="42" t="s">
        <v>22</v>
      </c>
      <c r="Q26" s="42" t="s">
        <v>19</v>
      </c>
      <c r="R26" s="42" t="s">
        <v>19</v>
      </c>
      <c r="S26" s="42" t="s">
        <v>19</v>
      </c>
      <c r="T26" s="42" t="s">
        <v>19</v>
      </c>
      <c r="U26" s="42" t="s">
        <v>19</v>
      </c>
      <c r="V26" s="42" t="s">
        <v>19</v>
      </c>
      <c r="W26" s="42" t="s">
        <v>19</v>
      </c>
      <c r="X26" s="42" t="s">
        <v>75</v>
      </c>
    </row>
    <row r="27" spans="1:24">
      <c r="A27" s="42" t="s">
        <v>676</v>
      </c>
      <c r="B27" s="43" t="s">
        <v>805</v>
      </c>
      <c r="C27" s="42" t="s">
        <v>1102</v>
      </c>
      <c r="D27" s="42" t="s">
        <v>20</v>
      </c>
      <c r="E27" s="43" t="s">
        <v>732</v>
      </c>
      <c r="F27" s="44" t="s">
        <v>744</v>
      </c>
      <c r="G27" s="43"/>
      <c r="H27" s="43"/>
      <c r="I27" s="43"/>
      <c r="J27" s="42" t="s">
        <v>1410</v>
      </c>
      <c r="K27" s="43" t="str">
        <f>VLOOKUP(C27,'[1]뷰프레임 전체_상세'!$B:$E,4,0)</f>
        <v>F-265-466KGGS2R5</v>
      </c>
      <c r="L27" s="52" t="str">
        <f>IF(M27&lt;=0.9,HYPERLINK("http://www.lxhausys.co.kr/popup/rn/download/downloadPopup.jsp?from=plwindow&amp;uu=/upload/window/REPORT/LXH-EA24-027 F-265-466KGGS2R5.pdf","1등급"),IF(M27&lt;=1.2,HYPERLINK("http://www.lxhausys.co.kr/popup/rn/download/downloadPopup.jsp?from=plwindow&amp;uu=/upload/window/REPORT/LXH-EA24-027 F-265-466KGGS2R5.pdf","2등급"),IF(M27&lt;=1.8,HYPERLINK("http://www.lxhausys.co.kr/popup/rn/download/downloadPopup.jsp?from=plwindow&amp;uu=/upload/window/REPORT/LXH-EA24-027 F-265-466KGGS2R5.pdf","3등급"),IF(M27&lt;=2.3,HYPERLINK("http://www.lxhausys.co.kr/popup/rn/download/downloadPopup.jsp?from=plwindow&amp;uu=/upload/window/REPORT/LXH-EA24-027 F-265-466KGGS2R5.pdf","4등급"),IF(M27&lt;=2.8,HYPERLINK("http://www.lxhausys.co.kr/popup/rn/download/downloadPopup.jsp?from=plwindow&amp;uu=/upload/window/REPORT/LXH-EA24-027 F-265-466KGGS2R5.pdf","5등급"),HYPERLINK("http://www.lxhausys.co.kr/popup/rn/download/downloadPopup.jsp?from=plwindow&amp;uu=/upload/window/REPORT/LXH-TW22-015 S-124-222FFGL1R30.pdf","등급외"))))))</f>
        <v>1등급</v>
      </c>
      <c r="M27" s="45">
        <v>0.52800000000000002</v>
      </c>
      <c r="N27" s="45">
        <v>0.81</v>
      </c>
      <c r="O27" s="42" t="s">
        <v>19</v>
      </c>
      <c r="P27" s="42" t="s">
        <v>22</v>
      </c>
      <c r="Q27" s="42" t="s">
        <v>19</v>
      </c>
      <c r="R27" s="42" t="s">
        <v>19</v>
      </c>
      <c r="S27" s="42" t="s">
        <v>19</v>
      </c>
      <c r="T27" s="42" t="s">
        <v>19</v>
      </c>
      <c r="U27" s="42" t="s">
        <v>19</v>
      </c>
      <c r="V27" s="42" t="s">
        <v>19</v>
      </c>
      <c r="W27" s="42" t="s">
        <v>19</v>
      </c>
      <c r="X27" s="42" t="s">
        <v>75</v>
      </c>
    </row>
    <row r="28" spans="1:24">
      <c r="A28" s="42" t="s">
        <v>675</v>
      </c>
      <c r="B28" s="43" t="s">
        <v>806</v>
      </c>
      <c r="C28" s="42" t="s">
        <v>1103</v>
      </c>
      <c r="D28" s="42" t="s">
        <v>20</v>
      </c>
      <c r="E28" s="43" t="s">
        <v>1071</v>
      </c>
      <c r="F28" s="44"/>
      <c r="G28" s="43"/>
      <c r="H28" s="43"/>
      <c r="I28" s="43"/>
      <c r="J28" s="42" t="s">
        <v>1410</v>
      </c>
      <c r="K28" s="43" t="str">
        <f>VLOOKUP(C28,'[1]뷰프레임 전체_상세'!$B:$E,4,0)</f>
        <v>F-230WF-226FFGS1R5</v>
      </c>
      <c r="L28" s="52" t="str">
        <f>IF(M28&lt;=0.9,HYPERLINK("http://www.lxhausys.co.kr/popup/rn/download/downloadPopup.jsp?from=plwindow&amp;uu=/upload/window/REPORT/LXH-EA24-028 F-230WF-226FFGS1R5.pdf","1등급"),IF(M28&lt;=1.2,HYPERLINK("http://www.lxhausys.co.kr/popup/rn/download/downloadPopup.jsp?from=plwindow&amp;uu=/upload/window/REPORT/LXH-EA24-028 F-230WF-226FFGS1R5.pdf","2등급"),IF(M28&lt;=1.8,HYPERLINK("http://www.lxhausys.co.kr/popup/rn/download/downloadPopup.jsp?from=plwindow&amp;uu=/upload/window/REPORT/LXH-EA24-028 F-230WF-226FFGS1R5.pdf","3등급"),IF(M28&lt;=2.3,HYPERLINK("http://www.lxhausys.co.kr/popup/rn/download/downloadPopup.jsp?from=plwindow&amp;uu=/upload/window/REPORT/LXH-EA24-028 F-230WF-226FFGS1R5.pdf","4등급"),IF(M28&lt;=2.8,HYPERLINK("http://www.lxhausys.co.kr/popup/rn/download/downloadPopup.jsp?from=plwindow&amp;uu=/upload/window/REPORT/LXH-EA24-028 F-230WF-226FFGS1R5.pdf","5등급"),HYPERLINK("http://www.lxhausys.co.kr/popup/rn/download/downloadPopup.jsp?from=plwindow&amp;uu=/upload/window/REPORT/LXH-TW22-015 S-124-222FFGL1R31.pdf","등급외"))))))</f>
        <v>3등급</v>
      </c>
      <c r="M28" s="45">
        <v>1.661</v>
      </c>
      <c r="N28" s="45">
        <v>1.91</v>
      </c>
      <c r="O28" s="42" t="s">
        <v>19</v>
      </c>
      <c r="P28" s="42" t="s">
        <v>103</v>
      </c>
      <c r="Q28" s="42" t="s">
        <v>19</v>
      </c>
      <c r="R28" s="42" t="s">
        <v>19</v>
      </c>
      <c r="S28" s="42" t="s">
        <v>19</v>
      </c>
      <c r="T28" s="42" t="s">
        <v>19</v>
      </c>
      <c r="U28" s="42" t="s">
        <v>19</v>
      </c>
      <c r="V28" s="42" t="s">
        <v>19</v>
      </c>
      <c r="W28" s="42" t="s">
        <v>19</v>
      </c>
      <c r="X28" s="42" t="s">
        <v>75</v>
      </c>
    </row>
    <row r="29" spans="1:24">
      <c r="A29" s="42" t="s">
        <v>674</v>
      </c>
      <c r="B29" s="43" t="s">
        <v>807</v>
      </c>
      <c r="C29" s="42" t="s">
        <v>1104</v>
      </c>
      <c r="D29" s="42" t="s">
        <v>20</v>
      </c>
      <c r="E29" s="43" t="s">
        <v>714</v>
      </c>
      <c r="F29" s="44"/>
      <c r="G29" s="43"/>
      <c r="H29" s="43"/>
      <c r="I29" s="43"/>
      <c r="J29" s="42" t="s">
        <v>1410</v>
      </c>
      <c r="K29" s="43" t="str">
        <f>VLOOKUP(C29,'[1]뷰프레임 전체_상세'!$B:$E,4,0)</f>
        <v>F-230W-226FFKG1A5</v>
      </c>
      <c r="L29" s="52" t="str">
        <f>IF(M29&lt;=0.9,HYPERLINK("http://www.lxhausys.co.kr/popup/rn/download/downloadPopup.jsp?from=plwindow&amp;uu=/upload/window/REPORT/LXH-EA24-029 F-230W-226FFKG1A5.pdf","1등급"),IF(M29&lt;=1.2,HYPERLINK("http://www.lxhausys.co.kr/popup/rn/download/downloadPopup.jsp?from=plwindow&amp;uu=/upload/window/REPORT/LXH-EA24-029 F-230W-226FFKG1A5.pdf","2등급"),IF(M29&lt;=1.8,HYPERLINK("http://www.lxhausys.co.kr/popup/rn/download/downloadPopup.jsp?from=plwindow&amp;uu=/upload/window/REPORT/LXH-EA24-029 F-230W-226FFKG1A5.pdf","3등급"),IF(M29&lt;=2.3,HYPERLINK("http://www.lxhausys.co.kr/popup/rn/download/downloadPopup.jsp?from=plwindow&amp;uu=/upload/window/REPORT/LXH-EA24-029 F-230W-226FFKG1A5.pdf","4등급"),IF(M29&lt;=2.8,HYPERLINK("http://www.lxhausys.co.kr/popup/rn/download/downloadPopup.jsp?from=plwindow&amp;uu=/upload/window/REPORT/LXH-EA24-029 F-230W-226FFKG1A5.pdf","5등급"),HYPERLINK("http://www.lxhausys.co.kr/popup/rn/download/downloadPopup.jsp?from=plwindow&amp;uu=/upload/window/REPORT/LXH-TW22-015 S-124-222FFGL1R32.pdf","등급외"))))))</f>
        <v>3등급</v>
      </c>
      <c r="M29" s="45">
        <v>1.73</v>
      </c>
      <c r="N29" s="45">
        <v>1.5</v>
      </c>
      <c r="O29" s="42" t="s">
        <v>19</v>
      </c>
      <c r="P29" s="42" t="s">
        <v>103</v>
      </c>
      <c r="Q29" s="42" t="s">
        <v>19</v>
      </c>
      <c r="R29" s="42" t="s">
        <v>19</v>
      </c>
      <c r="S29" s="42" t="s">
        <v>19</v>
      </c>
      <c r="T29" s="42" t="s">
        <v>19</v>
      </c>
      <c r="U29" s="42" t="s">
        <v>19</v>
      </c>
      <c r="V29" s="42" t="s">
        <v>19</v>
      </c>
      <c r="W29" s="42" t="s">
        <v>19</v>
      </c>
      <c r="X29" s="42" t="s">
        <v>75</v>
      </c>
    </row>
    <row r="30" spans="1:24">
      <c r="A30" s="42" t="s">
        <v>674</v>
      </c>
      <c r="B30" s="43" t="s">
        <v>808</v>
      </c>
      <c r="C30" s="42" t="s">
        <v>1105</v>
      </c>
      <c r="D30" s="42" t="s">
        <v>20</v>
      </c>
      <c r="E30" s="43" t="s">
        <v>1071</v>
      </c>
      <c r="F30" s="44"/>
      <c r="G30" s="43"/>
      <c r="H30" s="43"/>
      <c r="I30" s="43"/>
      <c r="J30" s="42" t="s">
        <v>1410</v>
      </c>
      <c r="K30" s="43" t="str">
        <f>VLOOKUP(C30,'[1]뷰프레임 전체_상세'!$B:$E,4,0)</f>
        <v>F-230W-226FFGS1R5</v>
      </c>
      <c r="L30" s="52" t="str">
        <f>IF(M30&lt;=0.9,HYPERLINK("http://www.lxhausys.co.kr/popup/rn/download/downloadPopup.jsp?from=plwindow&amp;uu=/upload/window/REPORT/LXH-EA24-030 F-230W-226FFGS1R5.pdf","1등급"),IF(M30&lt;=1.2,HYPERLINK("http://www.lxhausys.co.kr/popup/rn/download/downloadPopup.jsp?from=plwindow&amp;uu=/upload/window/REPORT/LXH-EA24-030 F-230W-226FFGS1R5.pdf","2등급"),IF(M30&lt;=1.8,HYPERLINK("http://www.lxhausys.co.kr/popup/rn/download/downloadPopup.jsp?from=plwindow&amp;uu=/upload/window/REPORT/LXH-EA24-030 F-230W-226FFGS1R5.pdf","3등급"),IF(M30&lt;=2.3,HYPERLINK("http://www.lxhausys.co.kr/popup/rn/download/downloadPopup.jsp?from=plwindow&amp;uu=/upload/window/REPORT/LXH-EA24-030 F-230W-226FFGS1R5.pdf","4등급"),IF(M30&lt;=2.8,HYPERLINK("http://www.lxhausys.co.kr/popup/rn/download/downloadPopup.jsp?from=plwindow&amp;uu=/upload/window/REPORT/LXH-EA24-030 F-230W-226FFGS1R5.pdf","5등급"),HYPERLINK("http://www.lxhausys.co.kr/popup/rn/download/downloadPopup.jsp?from=plwindow&amp;uu=/upload/window/REPORT/LXH-TW22-015 S-124-222FFGL1R33.pdf","등급외"))))))</f>
        <v>3등급</v>
      </c>
      <c r="M30" s="45">
        <v>1.6</v>
      </c>
      <c r="N30" s="45">
        <v>1.56</v>
      </c>
      <c r="O30" s="42" t="s">
        <v>19</v>
      </c>
      <c r="P30" s="42" t="s">
        <v>103</v>
      </c>
      <c r="Q30" s="42" t="s">
        <v>19</v>
      </c>
      <c r="R30" s="42" t="s">
        <v>19</v>
      </c>
      <c r="S30" s="42" t="s">
        <v>19</v>
      </c>
      <c r="T30" s="42" t="s">
        <v>19</v>
      </c>
      <c r="U30" s="42" t="s">
        <v>19</v>
      </c>
      <c r="V30" s="42" t="s">
        <v>19</v>
      </c>
      <c r="W30" s="42" t="s">
        <v>19</v>
      </c>
      <c r="X30" s="42" t="s">
        <v>75</v>
      </c>
    </row>
    <row r="31" spans="1:24">
      <c r="A31" s="42" t="s">
        <v>675</v>
      </c>
      <c r="B31" s="43" t="s">
        <v>809</v>
      </c>
      <c r="C31" s="42" t="s">
        <v>1106</v>
      </c>
      <c r="D31" s="42" t="s">
        <v>20</v>
      </c>
      <c r="E31" s="43" t="s">
        <v>725</v>
      </c>
      <c r="F31" s="44"/>
      <c r="G31" s="43"/>
      <c r="H31" s="43"/>
      <c r="I31" s="43"/>
      <c r="J31" s="42" t="s">
        <v>1410</v>
      </c>
      <c r="K31" s="43" t="str">
        <f>VLOOKUP(C31,'[1]뷰프레임 전체_상세'!$B:$E,4,0)</f>
        <v>F-230WF-228FFKG1R5</v>
      </c>
      <c r="L31" s="52" t="str">
        <f>IF(M31&lt;=0.9,HYPERLINK("http://www.lxhausys.co.kr/popup/rn/download/downloadPopup.jsp?from=plwindow&amp;uu=/upload/window/REPORT/LXH-EA24-031 F-230WF-228FFKG1R5.pdf","1등급"),IF(M31&lt;=1.2,HYPERLINK("http://www.lxhausys.co.kr/popup/rn/download/downloadPopup.jsp?from=plwindow&amp;uu=/upload/window/REPORT/LXH-EA24-031 F-230WF-228FFKG1R5.pdf","2등급"),IF(M31&lt;=1.8,HYPERLINK("http://www.lxhausys.co.kr/popup/rn/download/downloadPopup.jsp?from=plwindow&amp;uu=/upload/window/REPORT/LXH-EA24-031 F-230WF-228FFKG1R5.pdf","3등급"),IF(M31&lt;=2.3,HYPERLINK("http://www.lxhausys.co.kr/popup/rn/download/downloadPopup.jsp?from=plwindow&amp;uu=/upload/window/REPORT/LXH-EA24-031 F-230WF-228FFKG1R5.pdf","4등급"),IF(M31&lt;=2.8,HYPERLINK("http://www.lxhausys.co.kr/popup/rn/download/downloadPopup.jsp?from=plwindow&amp;uu=/upload/window/REPORT/LXH-EA24-031 F-230WF-228FFKG1R5.pdf","5등급"),HYPERLINK("http://www.lxhausys.co.kr/popup/rn/download/downloadPopup.jsp?from=plwindow&amp;uu=/upload/window/REPORT/LXH-TW22-015 S-124-222FFGL1R34.pdf","등급외"))))))</f>
        <v>3등급</v>
      </c>
      <c r="M31" s="45">
        <v>1.502</v>
      </c>
      <c r="N31" s="45">
        <v>1.89</v>
      </c>
      <c r="O31" s="42" t="s">
        <v>19</v>
      </c>
      <c r="P31" s="42" t="s">
        <v>103</v>
      </c>
      <c r="Q31" s="42" t="s">
        <v>19</v>
      </c>
      <c r="R31" s="42" t="s">
        <v>19</v>
      </c>
      <c r="S31" s="42" t="s">
        <v>19</v>
      </c>
      <c r="T31" s="42" t="s">
        <v>19</v>
      </c>
      <c r="U31" s="42" t="s">
        <v>19</v>
      </c>
      <c r="V31" s="42" t="s">
        <v>19</v>
      </c>
      <c r="W31" s="42" t="s">
        <v>19</v>
      </c>
      <c r="X31" s="42" t="s">
        <v>75</v>
      </c>
    </row>
    <row r="32" spans="1:24">
      <c r="A32" s="42" t="s">
        <v>675</v>
      </c>
      <c r="B32" s="43" t="s">
        <v>810</v>
      </c>
      <c r="C32" s="42" t="s">
        <v>1107</v>
      </c>
      <c r="D32" s="42" t="s">
        <v>20</v>
      </c>
      <c r="E32" s="43" t="s">
        <v>1070</v>
      </c>
      <c r="F32" s="44"/>
      <c r="G32" s="43"/>
      <c r="H32" s="43"/>
      <c r="I32" s="43"/>
      <c r="J32" s="42" t="s">
        <v>1410</v>
      </c>
      <c r="K32" s="43" t="str">
        <f>VLOOKUP(C32,'[1]뷰프레임 전체_상세'!$B:$E,4,0)</f>
        <v>F-230WF-226FFGS1A5</v>
      </c>
      <c r="L32" s="52" t="str">
        <f>IF(M32&lt;=0.9,HYPERLINK("http://www.lxhausys.co.kr/popup/rn/download/downloadPopup.jsp?from=plwindow&amp;uu=/upload/window/REPORT/LXH-EA24-032 F-230WF-226FFGS1A5.pdf","1등급"),IF(M32&lt;=1.2,HYPERLINK("http://www.lxhausys.co.kr/popup/rn/download/downloadPopup.jsp?from=plwindow&amp;uu=/upload/window/REPORT/LXH-EA24-032 F-230WF-226FFGS1A5.pdf","2등급"),IF(M32&lt;=1.8,HYPERLINK("http://www.lxhausys.co.kr/popup/rn/download/downloadPopup.jsp?from=plwindow&amp;uu=/upload/window/REPORT/LXH-EA24-032 F-230WF-226FFGS1A5.pdf","3등급"),IF(M32&lt;=2.3,HYPERLINK("http://www.lxhausys.co.kr/popup/rn/download/downloadPopup.jsp?from=plwindow&amp;uu=/upload/window/REPORT/LXH-EA24-032 F-230WF-226FFGS1A5.pdf","4등급"),IF(M32&lt;=2.8,HYPERLINK("http://www.lxhausys.co.kr/popup/rn/download/downloadPopup.jsp?from=plwindow&amp;uu=/upload/window/REPORT/LXH-EA24-032 F-230WF-226FFGS1A5.pdf","5등급"),HYPERLINK("http://www.lxhausys.co.kr/popup/rn/download/downloadPopup.jsp?from=plwindow&amp;uu=/upload/window/REPORT/LXH-TW22-015 S-124-222FFGL1R35.pdf","등급외"))))))</f>
        <v>4등급</v>
      </c>
      <c r="M32" s="45">
        <v>1.873</v>
      </c>
      <c r="N32" s="45">
        <v>1.86</v>
      </c>
      <c r="O32" s="42" t="s">
        <v>19</v>
      </c>
      <c r="P32" s="42" t="s">
        <v>103</v>
      </c>
      <c r="Q32" s="42" t="s">
        <v>19</v>
      </c>
      <c r="R32" s="42" t="s">
        <v>19</v>
      </c>
      <c r="S32" s="42" t="s">
        <v>19</v>
      </c>
      <c r="T32" s="42" t="s">
        <v>19</v>
      </c>
      <c r="U32" s="42" t="s">
        <v>19</v>
      </c>
      <c r="V32" s="42" t="s">
        <v>19</v>
      </c>
      <c r="W32" s="42" t="s">
        <v>19</v>
      </c>
      <c r="X32" s="42" t="s">
        <v>75</v>
      </c>
    </row>
    <row r="33" spans="1:24">
      <c r="A33" s="42" t="s">
        <v>675</v>
      </c>
      <c r="B33" s="43" t="s">
        <v>811</v>
      </c>
      <c r="C33" s="42" t="s">
        <v>1108</v>
      </c>
      <c r="D33" s="42" t="s">
        <v>20</v>
      </c>
      <c r="E33" s="43" t="s">
        <v>714</v>
      </c>
      <c r="F33" s="44"/>
      <c r="G33" s="43"/>
      <c r="H33" s="43"/>
      <c r="I33" s="43"/>
      <c r="J33" s="42" t="s">
        <v>1410</v>
      </c>
      <c r="K33" s="43" t="str">
        <f>VLOOKUP(C33,'[1]뷰프레임 전체_상세'!$B:$E,4,0)</f>
        <v>F-230WF-226FFKG1A5</v>
      </c>
      <c r="L33" s="52" t="str">
        <f>IF(M33&lt;=0.9,HYPERLINK("http://www.lxhausys.co.kr/popup/rn/download/downloadPopup.jsp?from=plwindow&amp;uu=/upload/window/REPORT/LXH-EA24-033 F-230WF-226FFKG1A5.pdf","1등급"),IF(M33&lt;=1.2,HYPERLINK("http://www.lxhausys.co.kr/popup/rn/download/downloadPopup.jsp?from=plwindow&amp;uu=/upload/window/REPORT/LXH-EA24-033 F-230WF-226FFKG1A5.pdf","2등급"),IF(M33&lt;=1.8,HYPERLINK("http://www.lxhausys.co.kr/popup/rn/download/downloadPopup.jsp?from=plwindow&amp;uu=/upload/window/REPORT/LXH-EA24-033 F-230WF-226FFKG1A5.pdf","3등급"),IF(M33&lt;=2.3,HYPERLINK("http://www.lxhausys.co.kr/popup/rn/download/downloadPopup.jsp?from=plwindow&amp;uu=/upload/window/REPORT/LXH-EA24-033 F-230WF-226FFKG1A5.pdf","4등급"),IF(M33&lt;=2.8,HYPERLINK("http://www.lxhausys.co.kr/popup/rn/download/downloadPopup.jsp?from=plwindow&amp;uu=/upload/window/REPORT/LXH-EA24-033 F-230WF-226FFKG1A5.pdf","5등급"),HYPERLINK("http://www.lxhausys.co.kr/popup/rn/download/downloadPopup.jsp?from=plwindow&amp;uu=/upload/window/REPORT/LXH-TW22-015 S-124-222FFGL1R36.pdf","등급외"))))))</f>
        <v>3등급</v>
      </c>
      <c r="M33" s="45">
        <v>1.7609999999999999</v>
      </c>
      <c r="N33" s="45">
        <v>1.81</v>
      </c>
      <c r="O33" s="42" t="s">
        <v>19</v>
      </c>
      <c r="P33" s="42" t="s">
        <v>103</v>
      </c>
      <c r="Q33" s="42" t="s">
        <v>19</v>
      </c>
      <c r="R33" s="42" t="s">
        <v>19</v>
      </c>
      <c r="S33" s="42" t="s">
        <v>19</v>
      </c>
      <c r="T33" s="42" t="s">
        <v>19</v>
      </c>
      <c r="U33" s="42" t="s">
        <v>19</v>
      </c>
      <c r="V33" s="42" t="s">
        <v>19</v>
      </c>
      <c r="W33" s="42" t="s">
        <v>19</v>
      </c>
      <c r="X33" s="42" t="s">
        <v>75</v>
      </c>
    </row>
    <row r="34" spans="1:24">
      <c r="A34" s="42" t="s">
        <v>674</v>
      </c>
      <c r="B34" s="43" t="s">
        <v>812</v>
      </c>
      <c r="C34" s="42" t="s">
        <v>1109</v>
      </c>
      <c r="D34" s="42" t="s">
        <v>20</v>
      </c>
      <c r="E34" s="43" t="s">
        <v>725</v>
      </c>
      <c r="F34" s="44"/>
      <c r="G34" s="43"/>
      <c r="H34" s="43"/>
      <c r="I34" s="43"/>
      <c r="J34" s="42" t="s">
        <v>1410</v>
      </c>
      <c r="K34" s="43" t="str">
        <f>VLOOKUP(C34,'[1]뷰프레임 전체_상세'!$B:$E,4,0)</f>
        <v>F-230W-228FFKG1R5</v>
      </c>
      <c r="L34" s="52" t="str">
        <f>IF(M34&lt;=0.9,HYPERLINK("http://www.lxhausys.co.kr/popup/rn/download/downloadPopup.jsp?from=plwindow&amp;uu=/upload/window/REPORT/LXH-EA24-034 F-230W-228FFKG1R5.pdf","1등급"),IF(M34&lt;=1.2,HYPERLINK("http://www.lxhausys.co.kr/popup/rn/download/downloadPopup.jsp?from=plwindow&amp;uu=/upload/window/REPORT/LXH-EA24-034 F-230W-228FFKG1R5.pdf","2등급"),IF(M34&lt;=1.8,HYPERLINK("http://www.lxhausys.co.kr/popup/rn/download/downloadPopup.jsp?from=plwindow&amp;uu=/upload/window/REPORT/LXH-EA24-034 F-230W-228FFKG1R5.pdf","3등급"),IF(M34&lt;=2.3,HYPERLINK("http://www.lxhausys.co.kr/popup/rn/download/downloadPopup.jsp?from=plwindow&amp;uu=/upload/window/REPORT/LXH-EA24-034 F-230W-228FFKG1R5.pdf","4등급"),IF(M34&lt;=2.8,HYPERLINK("http://www.lxhausys.co.kr/popup/rn/download/downloadPopup.jsp?from=plwindow&amp;uu=/upload/window/REPORT/LXH-EA24-034 F-230W-228FFKG1R5.pdf","5등급"),HYPERLINK("http://www.lxhausys.co.kr/popup/rn/download/downloadPopup.jsp?from=plwindow&amp;uu=/upload/window/REPORT/LXH-TW22-015 S-124-222FFGL1R37.pdf","등급외"))))))</f>
        <v>3등급</v>
      </c>
      <c r="M34" s="45">
        <v>1.4770000000000001</v>
      </c>
      <c r="N34" s="45">
        <v>1.62</v>
      </c>
      <c r="O34" s="42" t="s">
        <v>19</v>
      </c>
      <c r="P34" s="42" t="s">
        <v>103</v>
      </c>
      <c r="Q34" s="42" t="s">
        <v>19</v>
      </c>
      <c r="R34" s="42" t="s">
        <v>19</v>
      </c>
      <c r="S34" s="42" t="s">
        <v>19</v>
      </c>
      <c r="T34" s="42" t="s">
        <v>19</v>
      </c>
      <c r="U34" s="42" t="s">
        <v>19</v>
      </c>
      <c r="V34" s="42" t="s">
        <v>19</v>
      </c>
      <c r="W34" s="42" t="s">
        <v>19</v>
      </c>
      <c r="X34" s="42" t="s">
        <v>75</v>
      </c>
    </row>
    <row r="35" spans="1:24">
      <c r="A35" s="42" t="s">
        <v>674</v>
      </c>
      <c r="B35" s="43" t="s">
        <v>813</v>
      </c>
      <c r="C35" s="42" t="s">
        <v>1110</v>
      </c>
      <c r="D35" s="42" t="s">
        <v>20</v>
      </c>
      <c r="E35" s="43" t="s">
        <v>1070</v>
      </c>
      <c r="F35" s="44"/>
      <c r="G35" s="43"/>
      <c r="H35" s="43"/>
      <c r="I35" s="43"/>
      <c r="J35" s="42" t="s">
        <v>1410</v>
      </c>
      <c r="K35" s="43" t="str">
        <f>VLOOKUP(C35,'[1]뷰프레임 전체_상세'!$B:$E,4,0)</f>
        <v>F-230W-226FFGS1A5</v>
      </c>
      <c r="L35" s="52" t="str">
        <f>IF(M35&lt;=0.9,HYPERLINK("http://www.lxhausys.co.kr/popup/rn/download/downloadPopup.jsp?from=plwindow&amp;uu=/upload/window/REPORT/LXH-EA24-035 F-230W-226FFGS1A5.pdf","1등급"),IF(M35&lt;=1.2,HYPERLINK("http://www.lxhausys.co.kr/popup/rn/download/downloadPopup.jsp?from=plwindow&amp;uu=/upload/window/REPORT/LXH-EA24-035 F-230W-226FFGS1A5.pdf","2등급"),IF(M35&lt;=1.8,HYPERLINK("http://www.lxhausys.co.kr/popup/rn/download/downloadPopup.jsp?from=plwindow&amp;uu=/upload/window/REPORT/LXH-EA24-035 F-230W-226FFGS1A5.pdf","3등급"),IF(M35&lt;=2.3,HYPERLINK("http://www.lxhausys.co.kr/popup/rn/download/downloadPopup.jsp?from=plwindow&amp;uu=/upload/window/REPORT/LXH-EA24-035 F-230W-226FFGS1A5.pdf","4등급"),IF(M35&lt;=2.8,HYPERLINK("http://www.lxhausys.co.kr/popup/rn/download/downloadPopup.jsp?from=plwindow&amp;uu=/upload/window/REPORT/LXH-EA24-035 F-230W-226FFGS1A5.pdf","5등급"),HYPERLINK("http://www.lxhausys.co.kr/popup/rn/download/downloadPopup.jsp?from=plwindow&amp;uu=/upload/window/REPORT/LXH-TW22-015 S-124-222FFGL1R38.pdf","등급외"))))))</f>
        <v>3등급</v>
      </c>
      <c r="M35" s="45">
        <v>1.7729999999999999</v>
      </c>
      <c r="N35" s="45">
        <v>1.51</v>
      </c>
      <c r="O35" s="42" t="s">
        <v>19</v>
      </c>
      <c r="P35" s="42" t="s">
        <v>103</v>
      </c>
      <c r="Q35" s="42" t="s">
        <v>19</v>
      </c>
      <c r="R35" s="42" t="s">
        <v>19</v>
      </c>
      <c r="S35" s="42" t="s">
        <v>19</v>
      </c>
      <c r="T35" s="42" t="s">
        <v>19</v>
      </c>
      <c r="U35" s="42" t="s">
        <v>19</v>
      </c>
      <c r="V35" s="42" t="s">
        <v>19</v>
      </c>
      <c r="W35" s="42" t="s">
        <v>19</v>
      </c>
      <c r="X35" s="42" t="s">
        <v>75</v>
      </c>
    </row>
    <row r="36" spans="1:24">
      <c r="A36" s="42" t="s">
        <v>673</v>
      </c>
      <c r="B36" s="43" t="s">
        <v>814</v>
      </c>
      <c r="C36" s="42" t="s">
        <v>1111</v>
      </c>
      <c r="D36" s="42" t="s">
        <v>20</v>
      </c>
      <c r="E36" s="43" t="s">
        <v>714</v>
      </c>
      <c r="F36" s="44"/>
      <c r="G36" s="43"/>
      <c r="H36" s="43"/>
      <c r="I36" s="43"/>
      <c r="J36" s="42" t="s">
        <v>1410</v>
      </c>
      <c r="K36" s="43" t="str">
        <f>VLOOKUP(C36,'[1]뷰프레임 전체_상세'!$B:$E,4,0)</f>
        <v>F-145-226FFKG1A5</v>
      </c>
      <c r="L36" s="52" t="str">
        <f>IF(M36&lt;=0.9,HYPERLINK("http://www.lxhausys.co.kr/popup/rn/download/downloadPopup.jsp?from=plwindow&amp;uu=/upload/window/REPORT/LXH-EA24-036 F-145-226FFKG1A5.pdf","1등급"),IF(M36&lt;=1.2,HYPERLINK("http://www.lxhausys.co.kr/popup/rn/download/downloadPopup.jsp?from=plwindow&amp;uu=/upload/window/REPORT/LXH-EA24-036 F-145-226FFKG1A5.pdf","2등급"),IF(M36&lt;=1.8,HYPERLINK("http://www.lxhausys.co.kr/popup/rn/download/downloadPopup.jsp?from=plwindow&amp;uu=/upload/window/REPORT/LXH-EA24-036 F-145-226FFKG1A5.pdf","3등급"),IF(M36&lt;=2.3,HYPERLINK("http://www.lxhausys.co.kr/popup/rn/download/downloadPopup.jsp?from=plwindow&amp;uu=/upload/window/REPORT/LXH-EA24-036 F-145-226FFKG1A5.pdf","4등급"),IF(M36&lt;=2.8,HYPERLINK("http://www.lxhausys.co.kr/popup/rn/download/downloadPopup.jsp?from=plwindow&amp;uu=/upload/window/REPORT/LXH-EA24-036 F-145-226FFKG1A5.pdf","5등급"),HYPERLINK("http://www.lxhausys.co.kr/popup/rn/download/downloadPopup.jsp?from=plwindow&amp;uu=/upload/window/REPORT/LXH-TW22-015 S-124-222FFGL1R39.pdf","등급외"))))))</f>
        <v>4등급</v>
      </c>
      <c r="M36" s="45">
        <v>1.802</v>
      </c>
      <c r="N36" s="45">
        <v>1.61</v>
      </c>
      <c r="O36" s="42" t="s">
        <v>19</v>
      </c>
      <c r="P36" s="42" t="s">
        <v>103</v>
      </c>
      <c r="Q36" s="42" t="s">
        <v>19</v>
      </c>
      <c r="R36" s="42" t="s">
        <v>19</v>
      </c>
      <c r="S36" s="42" t="s">
        <v>19</v>
      </c>
      <c r="T36" s="42" t="s">
        <v>19</v>
      </c>
      <c r="U36" s="42" t="s">
        <v>19</v>
      </c>
      <c r="V36" s="42" t="s">
        <v>19</v>
      </c>
      <c r="W36" s="42" t="s">
        <v>19</v>
      </c>
      <c r="X36" s="42" t="s">
        <v>75</v>
      </c>
    </row>
    <row r="37" spans="1:24">
      <c r="A37" s="42" t="s">
        <v>673</v>
      </c>
      <c r="B37" s="43" t="s">
        <v>815</v>
      </c>
      <c r="C37" s="42" t="s">
        <v>1112</v>
      </c>
      <c r="D37" s="42" t="s">
        <v>20</v>
      </c>
      <c r="E37" s="43" t="s">
        <v>1071</v>
      </c>
      <c r="F37" s="44"/>
      <c r="G37" s="43"/>
      <c r="H37" s="43"/>
      <c r="I37" s="43"/>
      <c r="J37" s="42" t="s">
        <v>1410</v>
      </c>
      <c r="K37" s="43" t="str">
        <f>VLOOKUP(C37,'[1]뷰프레임 전체_상세'!$B:$E,4,0)</f>
        <v>F-145-226FFGS1R5</v>
      </c>
      <c r="L37" s="52" t="str">
        <f>IF(M37&lt;=0.9,HYPERLINK("http://www.lxhausys.co.kr/popup/rn/download/downloadPopup.jsp?from=plwindow&amp;uu=/upload/window/REPORT/LXH-EA24-037 F-145-226FFGS1R5.pdf","1등급"),IF(M37&lt;=1.2,HYPERLINK("http://www.lxhausys.co.kr/popup/rn/download/downloadPopup.jsp?from=plwindow&amp;uu=/upload/window/REPORT/LXH-EA24-037 F-145-226FFGS1R5.pdf","2등급"),IF(M37&lt;=1.8,HYPERLINK("http://www.lxhausys.co.kr/popup/rn/download/downloadPopup.jsp?from=plwindow&amp;uu=/upload/window/REPORT/LXH-EA24-037 F-145-226FFGS1R5.pdf","3등급"),IF(M37&lt;=2.3,HYPERLINK("http://www.lxhausys.co.kr/popup/rn/download/downloadPopup.jsp?from=plwindow&amp;uu=/upload/window/REPORT/LXH-EA24-037 F-145-226FFGS1R5.pdf","4등급"),IF(M37&lt;=2.8,HYPERLINK("http://www.lxhausys.co.kr/popup/rn/download/downloadPopup.jsp?from=plwindow&amp;uu=/upload/window/REPORT/LXH-EA24-037 F-145-226FFGS1R5.pdf","5등급"),HYPERLINK("http://www.lxhausys.co.kr/popup/rn/download/downloadPopup.jsp?from=plwindow&amp;uu=/upload/window/REPORT/LXH-TW22-015 S-124-222FFGL1R40.pdf","등급외"))))))</f>
        <v>3등급</v>
      </c>
      <c r="M37" s="45">
        <v>1.6719999999999999</v>
      </c>
      <c r="N37" s="45">
        <v>1.63</v>
      </c>
      <c r="O37" s="42" t="s">
        <v>19</v>
      </c>
      <c r="P37" s="42" t="s">
        <v>103</v>
      </c>
      <c r="Q37" s="42" t="s">
        <v>19</v>
      </c>
      <c r="R37" s="42" t="s">
        <v>19</v>
      </c>
      <c r="S37" s="42" t="s">
        <v>19</v>
      </c>
      <c r="T37" s="42" t="s">
        <v>19</v>
      </c>
      <c r="U37" s="42" t="s">
        <v>19</v>
      </c>
      <c r="V37" s="42" t="s">
        <v>19</v>
      </c>
      <c r="W37" s="42" t="s">
        <v>19</v>
      </c>
      <c r="X37" s="42" t="s">
        <v>75</v>
      </c>
    </row>
    <row r="38" spans="1:24">
      <c r="A38" s="42" t="s">
        <v>673</v>
      </c>
      <c r="B38" s="43" t="s">
        <v>816</v>
      </c>
      <c r="C38" s="42" t="s">
        <v>1113</v>
      </c>
      <c r="D38" s="42" t="s">
        <v>20</v>
      </c>
      <c r="E38" s="43" t="s">
        <v>1070</v>
      </c>
      <c r="F38" s="44"/>
      <c r="G38" s="43"/>
      <c r="H38" s="43"/>
      <c r="I38" s="43"/>
      <c r="J38" s="42" t="s">
        <v>1410</v>
      </c>
      <c r="K38" s="43" t="str">
        <f>VLOOKUP(C38,'[1]뷰프레임 전체_상세'!$B:$E,4,0)</f>
        <v>F-145-226FFGS1A5</v>
      </c>
      <c r="L38" s="52" t="str">
        <f>IF(M38&lt;=0.9,HYPERLINK("http://www.lxhausys.co.kr/popup/rn/download/downloadPopup.jsp?from=plwindow&amp;uu=/upload/window/REPORT/LXH-EA24-038 F-145-226FFGS1A5.pdf","1등급"),IF(M38&lt;=1.2,HYPERLINK("http://www.lxhausys.co.kr/popup/rn/download/downloadPopup.jsp?from=plwindow&amp;uu=/upload/window/REPORT/LXH-EA24-038 F-145-226FFGS1A5.pdf","2등급"),IF(M38&lt;=1.8,HYPERLINK("http://www.lxhausys.co.kr/popup/rn/download/downloadPopup.jsp?from=plwindow&amp;uu=/upload/window/REPORT/LXH-EA24-038 F-145-226FFGS1A5.pdf","3등급"),IF(M38&lt;=2.3,HYPERLINK("http://www.lxhausys.co.kr/popup/rn/download/downloadPopup.jsp?from=plwindow&amp;uu=/upload/window/REPORT/LXH-EA24-038 F-145-226FFGS1A5.pdf","4등급"),IF(M38&lt;=2.8,HYPERLINK("http://www.lxhausys.co.kr/popup/rn/download/downloadPopup.jsp?from=plwindow&amp;uu=/upload/window/REPORT/LXH-EA24-038 F-145-226FFGS1A5.pdf","5등급"),HYPERLINK("http://www.lxhausys.co.kr/popup/rn/download/downloadPopup.jsp?from=plwindow&amp;uu=/upload/window/REPORT/LXH-TW22-015 S-124-222FFGL1R41.pdf","등급외"))))))</f>
        <v>4등급</v>
      </c>
      <c r="M38" s="45">
        <v>1.8939999999999999</v>
      </c>
      <c r="N38" s="45">
        <v>1.69</v>
      </c>
      <c r="O38" s="42" t="s">
        <v>19</v>
      </c>
      <c r="P38" s="42" t="s">
        <v>103</v>
      </c>
      <c r="Q38" s="42" t="s">
        <v>19</v>
      </c>
      <c r="R38" s="42" t="s">
        <v>19</v>
      </c>
      <c r="S38" s="42" t="s">
        <v>19</v>
      </c>
      <c r="T38" s="42" t="s">
        <v>19</v>
      </c>
      <c r="U38" s="42" t="s">
        <v>19</v>
      </c>
      <c r="V38" s="42" t="s">
        <v>19</v>
      </c>
      <c r="W38" s="42" t="s">
        <v>19</v>
      </c>
      <c r="X38" s="42" t="s">
        <v>75</v>
      </c>
    </row>
    <row r="39" spans="1:24">
      <c r="A39" s="42" t="s">
        <v>673</v>
      </c>
      <c r="B39" s="43" t="s">
        <v>817</v>
      </c>
      <c r="C39" s="42" t="s">
        <v>1114</v>
      </c>
      <c r="D39" s="42" t="s">
        <v>20</v>
      </c>
      <c r="E39" s="43" t="s">
        <v>725</v>
      </c>
      <c r="F39" s="44"/>
      <c r="G39" s="43"/>
      <c r="H39" s="43"/>
      <c r="I39" s="43"/>
      <c r="J39" s="42" t="s">
        <v>1410</v>
      </c>
      <c r="K39" s="43" t="str">
        <f>VLOOKUP(C39,'[1]뷰프레임 전체_상세'!$B:$E,4,0)</f>
        <v>F-145-228FFKG1R5</v>
      </c>
      <c r="L39" s="52" t="str">
        <f>IF(M39&lt;=0.9,HYPERLINK("http://www.lxhausys.co.kr/popup/rn/download/downloadPopup.jsp?from=plwindow&amp;uu=/upload/window/REPORT/LXH-EA24-039 F-145-228FFKG1R5.pdf","1등급"),IF(M39&lt;=1.2,HYPERLINK("http://www.lxhausys.co.kr/popup/rn/download/downloadPopup.jsp?from=plwindow&amp;uu=/upload/window/REPORT/LXH-EA24-039 F-145-228FFKG1R5.pdf","2등급"),IF(M39&lt;=1.8,HYPERLINK("http://www.lxhausys.co.kr/popup/rn/download/downloadPopup.jsp?from=plwindow&amp;uu=/upload/window/REPORT/LXH-EA24-039 F-145-228FFKG1R5.pdf","3등급"),IF(M39&lt;=2.3,HYPERLINK("http://www.lxhausys.co.kr/popup/rn/download/downloadPopup.jsp?from=plwindow&amp;uu=/upload/window/REPORT/LXH-EA24-039 F-145-228FFKG1R5.pdf","4등급"),IF(M39&lt;=2.8,HYPERLINK("http://www.lxhausys.co.kr/popup/rn/download/downloadPopup.jsp?from=plwindow&amp;uu=/upload/window/REPORT/LXH-EA24-039 F-145-228FFKG1R5.pdf","5등급"),HYPERLINK("http://www.lxhausys.co.kr/popup/rn/download/downloadPopup.jsp?from=plwindow&amp;uu=/upload/window/REPORT/LXH-TW22-015 S-124-222FFGL1R42.pdf","등급외"))))))</f>
        <v>3등급</v>
      </c>
      <c r="M39" s="45">
        <v>1.5629999999999999</v>
      </c>
      <c r="N39" s="45">
        <v>1.58</v>
      </c>
      <c r="O39" s="42" t="s">
        <v>19</v>
      </c>
      <c r="P39" s="42" t="s">
        <v>103</v>
      </c>
      <c r="Q39" s="42" t="s">
        <v>19</v>
      </c>
      <c r="R39" s="42" t="s">
        <v>19</v>
      </c>
      <c r="S39" s="42" t="s">
        <v>19</v>
      </c>
      <c r="T39" s="42" t="s">
        <v>19</v>
      </c>
      <c r="U39" s="42" t="s">
        <v>19</v>
      </c>
      <c r="V39" s="42" t="s">
        <v>19</v>
      </c>
      <c r="W39" s="42" t="s">
        <v>19</v>
      </c>
      <c r="X39" s="42" t="s">
        <v>75</v>
      </c>
    </row>
    <row r="40" spans="1:24">
      <c r="A40" s="42" t="s">
        <v>678</v>
      </c>
      <c r="B40" s="43" t="s">
        <v>818</v>
      </c>
      <c r="C40" s="42" t="s">
        <v>1115</v>
      </c>
      <c r="D40" s="42" t="s">
        <v>20</v>
      </c>
      <c r="E40" s="43" t="s">
        <v>1070</v>
      </c>
      <c r="F40" s="44"/>
      <c r="G40" s="43"/>
      <c r="H40" s="43"/>
      <c r="I40" s="43"/>
      <c r="J40" s="42" t="s">
        <v>1410</v>
      </c>
      <c r="K40" s="43" t="str">
        <f>VLOOKUP(C40,'[1]뷰프레임 전체_상세'!$B:$E,4,0)</f>
        <v>F-140S-226FFGS1A5</v>
      </c>
      <c r="L40" s="52" t="str">
        <f>IF(M40&lt;=0.9,HYPERLINK("http://www.lxhausys.co.kr/popup/rn/download/downloadPopup.jsp?from=plwindow&amp;uu=/upload/window/REPORT/LXH-EA24-040 F-140S-226FFGS1A5.pdf","1등급"),IF(M40&lt;=1.2,HYPERLINK("http://www.lxhausys.co.kr/popup/rn/download/downloadPopup.jsp?from=plwindow&amp;uu=/upload/window/REPORT/LXH-EA24-040 F-140S-226FFGS1A5.pdf","2등급"),IF(M40&lt;=1.8,HYPERLINK("http://www.lxhausys.co.kr/popup/rn/download/downloadPopup.jsp?from=plwindow&amp;uu=/upload/window/REPORT/LXH-EA24-040 F-140S-226FFGS1A5.pdf","3등급"),IF(M40&lt;=2.3,HYPERLINK("http://www.lxhausys.co.kr/popup/rn/download/downloadPopup.jsp?from=plwindow&amp;uu=/upload/window/REPORT/LXH-EA24-040 F-140S-226FFGS1A5.pdf","4등급"),IF(M40&lt;=2.8,HYPERLINK("http://www.lxhausys.co.kr/popup/rn/download/downloadPopup.jsp?from=plwindow&amp;uu=/upload/window/REPORT/LXH-EA24-040 F-140S-226FFGS1A5.pdf","5등급"),HYPERLINK("http://www.lxhausys.co.kr/popup/rn/download/downloadPopup.jsp?from=plwindow&amp;uu=/upload/window/REPORT/LXH-TW22-015 S-124-222FFGL1R43.pdf","등급외"))))))</f>
        <v>4등급</v>
      </c>
      <c r="M40" s="45">
        <v>1.996</v>
      </c>
      <c r="N40" s="45">
        <v>1.35</v>
      </c>
      <c r="O40" s="42" t="s">
        <v>19</v>
      </c>
      <c r="P40" s="42" t="s">
        <v>103</v>
      </c>
      <c r="Q40" s="42" t="s">
        <v>19</v>
      </c>
      <c r="R40" s="42" t="s">
        <v>19</v>
      </c>
      <c r="S40" s="42" t="s">
        <v>19</v>
      </c>
      <c r="T40" s="42" t="s">
        <v>19</v>
      </c>
      <c r="U40" s="42" t="s">
        <v>19</v>
      </c>
      <c r="V40" s="42" t="s">
        <v>19</v>
      </c>
      <c r="W40" s="42" t="s">
        <v>19</v>
      </c>
      <c r="X40" s="42" t="s">
        <v>75</v>
      </c>
    </row>
    <row r="41" spans="1:24">
      <c r="A41" s="42" t="s">
        <v>678</v>
      </c>
      <c r="B41" s="43" t="s">
        <v>819</v>
      </c>
      <c r="C41" s="42" t="s">
        <v>1116</v>
      </c>
      <c r="D41" s="42" t="s">
        <v>20</v>
      </c>
      <c r="E41" s="43" t="s">
        <v>719</v>
      </c>
      <c r="F41" s="44"/>
      <c r="G41" s="43"/>
      <c r="H41" s="43"/>
      <c r="I41" s="43"/>
      <c r="J41" s="42" t="s">
        <v>1410</v>
      </c>
      <c r="K41" s="43" t="str">
        <f>VLOOKUP(C41,'[1]뷰프레임 전체_상세'!$B:$E,4,0)</f>
        <v>F-140S-226FFKG1R5</v>
      </c>
      <c r="L41" s="52" t="str">
        <f>IF(M41&lt;=0.9,HYPERLINK("http://www.lxhausys.co.kr/popup/rn/download/downloadPopup.jsp?from=plwindow&amp;uu=/upload/window/REPORT/LXH-EA24-041 F-140S-226FFKG1R5.pdf","1등급"),IF(M41&lt;=1.2,HYPERLINK("http://www.lxhausys.co.kr/popup/rn/download/downloadPopup.jsp?from=plwindow&amp;uu=/upload/window/REPORT/LXH-EA24-041 F-140S-226FFKG1R5.pdf","2등급"),IF(M41&lt;=1.8,HYPERLINK("http://www.lxhausys.co.kr/popup/rn/download/downloadPopup.jsp?from=plwindow&amp;uu=/upload/window/REPORT/LXH-EA24-041 F-140S-226FFKG1R5.pdf","3등급"),IF(M41&lt;=2.3,HYPERLINK("http://www.lxhausys.co.kr/popup/rn/download/downloadPopup.jsp?from=plwindow&amp;uu=/upload/window/REPORT/LXH-EA24-041 F-140S-226FFKG1R5.pdf","4등급"),IF(M41&lt;=2.8,HYPERLINK("http://www.lxhausys.co.kr/popup/rn/download/downloadPopup.jsp?from=plwindow&amp;uu=/upload/window/REPORT/LXH-EA24-041 F-140S-226FFKG1R5.pdf","5등급"),HYPERLINK("http://www.lxhausys.co.kr/popup/rn/download/downloadPopup.jsp?from=plwindow&amp;uu=/upload/window/REPORT/LXH-TW22-015 S-124-222FFGL1R44.pdf","등급외"))))))</f>
        <v>3등급</v>
      </c>
      <c r="M41" s="45">
        <v>1.7270000000000001</v>
      </c>
      <c r="N41" s="45">
        <v>1.38</v>
      </c>
      <c r="O41" s="42" t="s">
        <v>19</v>
      </c>
      <c r="P41" s="42" t="s">
        <v>103</v>
      </c>
      <c r="Q41" s="42" t="s">
        <v>19</v>
      </c>
      <c r="R41" s="42" t="s">
        <v>19</v>
      </c>
      <c r="S41" s="42" t="s">
        <v>19</v>
      </c>
      <c r="T41" s="42" t="s">
        <v>19</v>
      </c>
      <c r="U41" s="42" t="s">
        <v>19</v>
      </c>
      <c r="V41" s="42" t="s">
        <v>19</v>
      </c>
      <c r="W41" s="42" t="s">
        <v>19</v>
      </c>
      <c r="X41" s="42" t="s">
        <v>75</v>
      </c>
    </row>
    <row r="42" spans="1:24">
      <c r="A42" s="42" t="s">
        <v>678</v>
      </c>
      <c r="B42" s="43" t="s">
        <v>820</v>
      </c>
      <c r="C42" s="42" t="s">
        <v>1117</v>
      </c>
      <c r="D42" s="42" t="s">
        <v>20</v>
      </c>
      <c r="E42" s="43" t="s">
        <v>1071</v>
      </c>
      <c r="F42" s="44"/>
      <c r="G42" s="43"/>
      <c r="H42" s="43"/>
      <c r="I42" s="43"/>
      <c r="J42" s="42" t="s">
        <v>1410</v>
      </c>
      <c r="K42" s="43" t="str">
        <f>VLOOKUP(C42,'[1]뷰프레임 전체_상세'!$B:$E,4,0)</f>
        <v>F-140S-226FFGS1R5</v>
      </c>
      <c r="L42" s="52" t="str">
        <f>IF(M42&lt;=0.9,HYPERLINK("http://www.lxhausys.co.kr/popup/rn/download/downloadPopup.jsp?from=plwindow&amp;uu=/upload/window/REPORT/LXH-EA24-042 F-140S-226FFGS1R5.pdf","1등급"),IF(M42&lt;=1.2,HYPERLINK("http://www.lxhausys.co.kr/popup/rn/download/downloadPopup.jsp?from=plwindow&amp;uu=/upload/window/REPORT/LXH-EA24-042 F-140S-226FFGS1R5.pdf","2등급"),IF(M42&lt;=1.8,HYPERLINK("http://www.lxhausys.co.kr/popup/rn/download/downloadPopup.jsp?from=plwindow&amp;uu=/upload/window/REPORT/LXH-EA24-042 F-140S-226FFGS1R5.pdf","3등급"),IF(M42&lt;=2.3,HYPERLINK("http://www.lxhausys.co.kr/popup/rn/download/downloadPopup.jsp?from=plwindow&amp;uu=/upload/window/REPORT/LXH-EA24-042 F-140S-226FFGS1R5.pdf","4등급"),IF(M42&lt;=2.8,HYPERLINK("http://www.lxhausys.co.kr/popup/rn/download/downloadPopup.jsp?from=plwindow&amp;uu=/upload/window/REPORT/LXH-EA24-042 F-140S-226FFGS1R5.pdf","5등급"),HYPERLINK("http://www.lxhausys.co.kr/popup/rn/download/downloadPopup.jsp?from=plwindow&amp;uu=/upload/window/REPORT/LXH-TW22-015 S-124-222FFGL1R45.pdf","등급외"))))))</f>
        <v>3등급</v>
      </c>
      <c r="M42" s="45">
        <v>1.7949999999999999</v>
      </c>
      <c r="N42" s="45">
        <v>1.45</v>
      </c>
      <c r="O42" s="42" t="s">
        <v>19</v>
      </c>
      <c r="P42" s="42" t="s">
        <v>103</v>
      </c>
      <c r="Q42" s="42" t="s">
        <v>19</v>
      </c>
      <c r="R42" s="42" t="s">
        <v>19</v>
      </c>
      <c r="S42" s="42" t="s">
        <v>19</v>
      </c>
      <c r="T42" s="42" t="s">
        <v>19</v>
      </c>
      <c r="U42" s="42" t="s">
        <v>19</v>
      </c>
      <c r="V42" s="42" t="s">
        <v>19</v>
      </c>
      <c r="W42" s="42" t="s">
        <v>19</v>
      </c>
      <c r="X42" s="42" t="s">
        <v>75</v>
      </c>
    </row>
    <row r="43" spans="1:24">
      <c r="A43" s="42" t="s">
        <v>678</v>
      </c>
      <c r="B43" s="43" t="s">
        <v>821</v>
      </c>
      <c r="C43" s="42" t="s">
        <v>1118</v>
      </c>
      <c r="D43" s="42" t="s">
        <v>20</v>
      </c>
      <c r="E43" s="43" t="s">
        <v>714</v>
      </c>
      <c r="F43" s="44"/>
      <c r="G43" s="43"/>
      <c r="H43" s="43"/>
      <c r="I43" s="43"/>
      <c r="J43" s="42" t="s">
        <v>1410</v>
      </c>
      <c r="K43" s="43" t="str">
        <f>VLOOKUP(C43,'[1]뷰프레임 전체_상세'!$B:$E,4,0)</f>
        <v>F-140S-226FFKG1A5</v>
      </c>
      <c r="L43" s="52" t="str">
        <f>IF(M43&lt;=0.9,HYPERLINK("http://www.lxhausys.co.kr/popup/rn/download/downloadPopup.jsp?from=plwindow&amp;uu=/upload/window/REPORT/LXH-EA24-043 F-140S-226FFKG1A5.pdf","1등급"),IF(M43&lt;=1.2,HYPERLINK("http://www.lxhausys.co.kr/popup/rn/download/downloadPopup.jsp?from=plwindow&amp;uu=/upload/window/REPORT/LXH-EA24-043 F-140S-226FFKG1A5.pdf","2등급"),IF(M43&lt;=1.8,HYPERLINK("http://www.lxhausys.co.kr/popup/rn/download/downloadPopup.jsp?from=plwindow&amp;uu=/upload/window/REPORT/LXH-EA24-043 F-140S-226FFKG1A5.pdf","3등급"),IF(M43&lt;=2.3,HYPERLINK("http://www.lxhausys.co.kr/popup/rn/download/downloadPopup.jsp?from=plwindow&amp;uu=/upload/window/REPORT/LXH-EA24-043 F-140S-226FFKG1A5.pdf","4등급"),IF(M43&lt;=2.8,HYPERLINK("http://www.lxhausys.co.kr/popup/rn/download/downloadPopup.jsp?from=plwindow&amp;uu=/upload/window/REPORT/LXH-EA24-043 F-140S-226FFKG1A5.pdf","5등급"),HYPERLINK("http://www.lxhausys.co.kr/popup/rn/download/downloadPopup.jsp?from=plwindow&amp;uu=/upload/window/REPORT/LXH-TW22-015 S-124-222FFGL1R46.pdf","등급외"))))))</f>
        <v>4등급</v>
      </c>
      <c r="M43" s="45">
        <v>1.9079999999999999</v>
      </c>
      <c r="N43" s="45">
        <v>1.41</v>
      </c>
      <c r="O43" s="42" t="s">
        <v>19</v>
      </c>
      <c r="P43" s="42" t="s">
        <v>103</v>
      </c>
      <c r="Q43" s="42" t="s">
        <v>19</v>
      </c>
      <c r="R43" s="42" t="s">
        <v>19</v>
      </c>
      <c r="S43" s="42" t="s">
        <v>19</v>
      </c>
      <c r="T43" s="42" t="s">
        <v>19</v>
      </c>
      <c r="U43" s="42" t="s">
        <v>19</v>
      </c>
      <c r="V43" s="42" t="s">
        <v>19</v>
      </c>
      <c r="W43" s="42" t="s">
        <v>19</v>
      </c>
      <c r="X43" s="42" t="s">
        <v>75</v>
      </c>
    </row>
    <row r="44" spans="1:24">
      <c r="A44" s="42" t="s">
        <v>678</v>
      </c>
      <c r="B44" s="43" t="s">
        <v>822</v>
      </c>
      <c r="C44" s="42" t="s">
        <v>1119</v>
      </c>
      <c r="D44" s="42" t="s">
        <v>20</v>
      </c>
      <c r="E44" s="43" t="s">
        <v>722</v>
      </c>
      <c r="F44" s="44"/>
      <c r="G44" s="43"/>
      <c r="H44" s="43"/>
      <c r="I44" s="43"/>
      <c r="J44" s="42" t="s">
        <v>1410</v>
      </c>
      <c r="K44" s="43" t="str">
        <f>VLOOKUP(C44,'[1]뷰프레임 전체_상세'!$B:$E,4,0)</f>
        <v>F-140S-224FFKG1A5</v>
      </c>
      <c r="L44" s="52" t="str">
        <f>IF(M44&lt;=0.9,HYPERLINK("http://www.lxhausys.co.kr/popup/rn/download/downloadPopup.jsp?from=plwindow&amp;uu=/upload/window/REPORT/LXH-EA24-044 F-140S-224FFKG1A5.pdf","1등급"),IF(M44&lt;=1.2,HYPERLINK("http://www.lxhausys.co.kr/popup/rn/download/downloadPopup.jsp?from=plwindow&amp;uu=/upload/window/REPORT/LXH-EA24-044 F-140S-224FFKG1A5.pdf","2등급"),IF(M44&lt;=1.8,HYPERLINK("http://www.lxhausys.co.kr/popup/rn/download/downloadPopup.jsp?from=plwindow&amp;uu=/upload/window/REPORT/LXH-EA24-044 F-140S-224FFKG1A5.pdf","3등급"),IF(M44&lt;=2.3,HYPERLINK("http://www.lxhausys.co.kr/popup/rn/download/downloadPopup.jsp?from=plwindow&amp;uu=/upload/window/REPORT/LXH-EA24-044 F-140S-224FFKG1A5.pdf","4등급"),IF(M44&lt;=2.8,HYPERLINK("http://www.lxhausys.co.kr/popup/rn/download/downloadPopup.jsp?from=plwindow&amp;uu=/upload/window/REPORT/LXH-EA24-044 F-140S-224FFKG1A5.pdf","5등급"),HYPERLINK("http://www.lxhausys.co.kr/popup/rn/download/downloadPopup.jsp?from=plwindow&amp;uu=/upload/window/REPORT/LXH-TW22-015 S-124-222FFGL1R47.pdf","등급외"))))))</f>
        <v>4등급</v>
      </c>
      <c r="M44" s="45">
        <v>1.976</v>
      </c>
      <c r="N44" s="45">
        <v>1.5</v>
      </c>
      <c r="O44" s="42" t="s">
        <v>19</v>
      </c>
      <c r="P44" s="42" t="s">
        <v>103</v>
      </c>
      <c r="Q44" s="42" t="s">
        <v>19</v>
      </c>
      <c r="R44" s="42" t="s">
        <v>19</v>
      </c>
      <c r="S44" s="42" t="s">
        <v>19</v>
      </c>
      <c r="T44" s="42" t="s">
        <v>19</v>
      </c>
      <c r="U44" s="42" t="s">
        <v>19</v>
      </c>
      <c r="V44" s="42" t="s">
        <v>19</v>
      </c>
      <c r="W44" s="42" t="s">
        <v>19</v>
      </c>
      <c r="X44" s="42" t="s">
        <v>75</v>
      </c>
    </row>
    <row r="45" spans="1:24">
      <c r="A45" s="42" t="s">
        <v>678</v>
      </c>
      <c r="B45" s="43" t="s">
        <v>823</v>
      </c>
      <c r="C45" s="42" t="s">
        <v>1120</v>
      </c>
      <c r="D45" s="42" t="s">
        <v>20</v>
      </c>
      <c r="E45" s="43" t="s">
        <v>1072</v>
      </c>
      <c r="F45" s="44"/>
      <c r="G45" s="43"/>
      <c r="H45" s="43"/>
      <c r="I45" s="43"/>
      <c r="J45" s="42" t="s">
        <v>1410</v>
      </c>
      <c r="K45" s="43" t="str">
        <f>VLOOKUP(C45,'[1]뷰프레임 전체_상세'!$B:$E,4,0)</f>
        <v>F-140S-228FFGS1A5</v>
      </c>
      <c r="L45" s="52" t="str">
        <f>IF(M45&lt;=0.9,HYPERLINK("http://www.lxhausys.co.kr/popup/rn/download/downloadPopup.jsp?from=plwindow&amp;uu=/upload/window/REPORT/LXH-EA24-045 F-140S-228FFGS1A5.pdf","1등급"),IF(M45&lt;=1.2,HYPERLINK("http://www.lxhausys.co.kr/popup/rn/download/downloadPopup.jsp?from=plwindow&amp;uu=/upload/window/REPORT/LXH-EA24-045 F-140S-228FFGS1A5.pdf","2등급"),IF(M45&lt;=1.8,HYPERLINK("http://www.lxhausys.co.kr/popup/rn/download/downloadPopup.jsp?from=plwindow&amp;uu=/upload/window/REPORT/LXH-EA24-045 F-140S-228FFGS1A5.pdf","3등급"),IF(M45&lt;=2.3,HYPERLINK("http://www.lxhausys.co.kr/popup/rn/download/downloadPopup.jsp?from=plwindow&amp;uu=/upload/window/REPORT/LXH-EA24-045 F-140S-228FFGS1A5.pdf","4등급"),IF(M45&lt;=2.8,HYPERLINK("http://www.lxhausys.co.kr/popup/rn/download/downloadPopup.jsp?from=plwindow&amp;uu=/upload/window/REPORT/LXH-EA24-045 F-140S-228FFGS1A5.pdf","5등급"),HYPERLINK("http://www.lxhausys.co.kr/popup/rn/download/downloadPopup.jsp?from=plwindow&amp;uu=/upload/window/REPORT/LXH-TW22-015 S-124-222FFGL1R48.pdf","등급외"))))))</f>
        <v>4등급</v>
      </c>
      <c r="M45" s="45">
        <v>1.98</v>
      </c>
      <c r="N45" s="45">
        <v>1.35</v>
      </c>
      <c r="O45" s="42" t="s">
        <v>19</v>
      </c>
      <c r="P45" s="42" t="s">
        <v>103</v>
      </c>
      <c r="Q45" s="42" t="s">
        <v>19</v>
      </c>
      <c r="R45" s="42" t="s">
        <v>19</v>
      </c>
      <c r="S45" s="42" t="s">
        <v>19</v>
      </c>
      <c r="T45" s="42" t="s">
        <v>19</v>
      </c>
      <c r="U45" s="42" t="s">
        <v>19</v>
      </c>
      <c r="V45" s="42" t="s">
        <v>19</v>
      </c>
      <c r="W45" s="42" t="s">
        <v>19</v>
      </c>
      <c r="X45" s="42" t="s">
        <v>75</v>
      </c>
    </row>
    <row r="46" spans="1:24">
      <c r="A46" s="42" t="s">
        <v>679</v>
      </c>
      <c r="B46" s="43" t="s">
        <v>824</v>
      </c>
      <c r="C46" s="42" t="s">
        <v>1121</v>
      </c>
      <c r="D46" s="42" t="s">
        <v>20</v>
      </c>
      <c r="E46" s="43" t="s">
        <v>731</v>
      </c>
      <c r="F46" s="44" t="s">
        <v>744</v>
      </c>
      <c r="G46" s="43"/>
      <c r="H46" s="43"/>
      <c r="I46" s="43"/>
      <c r="J46" s="42" t="s">
        <v>1410</v>
      </c>
      <c r="K46" s="43" t="str">
        <f>VLOOKUP(C46,'[1]뷰프레임 전체_상세'!$B:$E,4,0)</f>
        <v>F-250S-466GGGS1R5</v>
      </c>
      <c r="L46" s="52" t="str">
        <f>IF(M46&lt;=0.9,HYPERLINK("http://www.lxhausys.co.kr/popup/rn/download/downloadPopup.jsp?from=plwindow&amp;uu=/upload/window/REPORT/LXH-EA24-046 F-250S-466GGGS1R5.pdf","1등급"),IF(M46&lt;=1.2,HYPERLINK("http://www.lxhausys.co.kr/popup/rn/download/downloadPopup.jsp?from=plwindow&amp;uu=/upload/window/REPORT/LXH-EA24-046 F-250S-466GGGS1R5.pdf","2등급"),IF(M46&lt;=1.8,HYPERLINK("http://www.lxhausys.co.kr/popup/rn/download/downloadPopup.jsp?from=plwindow&amp;uu=/upload/window/REPORT/LXH-EA24-046 F-250S-466GGGS1R5.pdf","3등급"),IF(M46&lt;=2.3,HYPERLINK("http://www.lxhausys.co.kr/popup/rn/download/downloadPopup.jsp?from=plwindow&amp;uu=/upload/window/REPORT/LXH-EA24-046 F-250S-466GGGS1R5.pdf","4등급"),IF(M46&lt;=2.8,HYPERLINK("http://www.lxhausys.co.kr/popup/rn/download/downloadPopup.jsp?from=plwindow&amp;uu=/upload/window/REPORT/LXH-EA24-046 F-250S-466GGGS1R5.pdf","5등급"),HYPERLINK("http://www.lxhausys.co.kr/popup/rn/download/downloadPopup.jsp?from=plwindow&amp;uu=/upload/window/REPORT/LXH-TW22-015 S-124-222FFGL1R49.pdf","등급외"))))))</f>
        <v>1등급</v>
      </c>
      <c r="M46" s="45">
        <v>0.81599999999999995</v>
      </c>
      <c r="N46" s="45">
        <v>0.83</v>
      </c>
      <c r="O46" s="42" t="s">
        <v>19</v>
      </c>
      <c r="P46" s="42" t="s">
        <v>22</v>
      </c>
      <c r="Q46" s="42" t="s">
        <v>19</v>
      </c>
      <c r="R46" s="42" t="s">
        <v>19</v>
      </c>
      <c r="S46" s="42" t="s">
        <v>19</v>
      </c>
      <c r="T46" s="42" t="s">
        <v>19</v>
      </c>
      <c r="U46" s="42" t="s">
        <v>19</v>
      </c>
      <c r="V46" s="42" t="s">
        <v>19</v>
      </c>
      <c r="W46" s="42" t="s">
        <v>19</v>
      </c>
      <c r="X46" s="42" t="s">
        <v>75</v>
      </c>
    </row>
    <row r="47" spans="1:24">
      <c r="A47" s="42" t="s">
        <v>678</v>
      </c>
      <c r="B47" s="43" t="s">
        <v>825</v>
      </c>
      <c r="C47" s="42" t="s">
        <v>1122</v>
      </c>
      <c r="D47" s="42" t="s">
        <v>20</v>
      </c>
      <c r="E47" s="43" t="s">
        <v>716</v>
      </c>
      <c r="F47" s="44"/>
      <c r="G47" s="43"/>
      <c r="H47" s="43"/>
      <c r="I47" s="43"/>
      <c r="J47" s="42" t="s">
        <v>1410</v>
      </c>
      <c r="K47" s="43" t="str">
        <f>VLOOKUP(C47,'[1]뷰프레임 전체_상세'!$B:$E,4,0)</f>
        <v>F-140S-224FFKG1R5</v>
      </c>
      <c r="L47" s="52" t="str">
        <f>IF(M47&lt;=0.9,HYPERLINK("http://www.lxhausys.co.kr/popup/rn/download/downloadPopup.jsp?from=plwindow&amp;uu=/upload/window/REPORT/LXH-EA24-047 F-140S-224FFKG1R5.pdf","1등급"),IF(M47&lt;=1.2,HYPERLINK("http://www.lxhausys.co.kr/popup/rn/download/downloadPopup.jsp?from=plwindow&amp;uu=/upload/window/REPORT/LXH-EA24-047 F-140S-224FFKG1R5.pdf","2등급"),IF(M47&lt;=1.8,HYPERLINK("http://www.lxhausys.co.kr/popup/rn/download/downloadPopup.jsp?from=plwindow&amp;uu=/upload/window/REPORT/LXH-EA24-047 F-140S-224FFKG1R5.pdf","3등급"),IF(M47&lt;=2.3,HYPERLINK("http://www.lxhausys.co.kr/popup/rn/download/downloadPopup.jsp?from=plwindow&amp;uu=/upload/window/REPORT/LXH-EA24-047 F-140S-224FFKG1R5.pdf","4등급"),IF(M47&lt;=2.8,HYPERLINK("http://www.lxhausys.co.kr/popup/rn/download/downloadPopup.jsp?from=plwindow&amp;uu=/upload/window/REPORT/LXH-EA24-047 F-140S-224FFKG1R5.pdf","5등급"),HYPERLINK("http://www.lxhausys.co.kr/popup/rn/download/downloadPopup.jsp?from=plwindow&amp;uu=/upload/window/REPORT/LXH-TW22-015 S-124-222FFGL1R50.pdf","등급외"))))))</f>
        <v>3등급</v>
      </c>
      <c r="M47" s="45">
        <v>1.7330000000000001</v>
      </c>
      <c r="N47" s="45">
        <v>1.33</v>
      </c>
      <c r="O47" s="42" t="s">
        <v>19</v>
      </c>
      <c r="P47" s="42" t="s">
        <v>103</v>
      </c>
      <c r="Q47" s="42" t="s">
        <v>19</v>
      </c>
      <c r="R47" s="42" t="s">
        <v>19</v>
      </c>
      <c r="S47" s="42" t="s">
        <v>19</v>
      </c>
      <c r="T47" s="42" t="s">
        <v>19</v>
      </c>
      <c r="U47" s="42" t="s">
        <v>19</v>
      </c>
      <c r="V47" s="42" t="s">
        <v>19</v>
      </c>
      <c r="W47" s="42" t="s">
        <v>19</v>
      </c>
      <c r="X47" s="42" t="s">
        <v>75</v>
      </c>
    </row>
    <row r="48" spans="1:24">
      <c r="A48" s="42" t="s">
        <v>679</v>
      </c>
      <c r="B48" s="43" t="s">
        <v>826</v>
      </c>
      <c r="C48" s="42" t="s">
        <v>1123</v>
      </c>
      <c r="D48" s="42" t="s">
        <v>20</v>
      </c>
      <c r="E48" s="43" t="s">
        <v>732</v>
      </c>
      <c r="F48" s="44" t="s">
        <v>744</v>
      </c>
      <c r="G48" s="43"/>
      <c r="H48" s="43"/>
      <c r="I48" s="43"/>
      <c r="J48" s="42" t="s">
        <v>1410</v>
      </c>
      <c r="K48" s="43" t="str">
        <f>VLOOKUP(C48,'[1]뷰프레임 전체_상세'!$B:$E,4,0)</f>
        <v>F-250S-466KGGS2R5</v>
      </c>
      <c r="L48" s="52" t="str">
        <f>IF(M48&lt;=0.9,HYPERLINK("http://www.lxhausys.co.kr/popup/rn/download/downloadPopup.jsp?from=plwindow&amp;uu=/upload/window/REPORT/LXH-EA24-048 F-250S-466KGGS2R5.pdf","1등급"),IF(M48&lt;=1.2,HYPERLINK("http://www.lxhausys.co.kr/popup/rn/download/downloadPopup.jsp?from=plwindow&amp;uu=/upload/window/REPORT/LXH-EA24-048 F-250S-466KGGS2R5.pdf","2등급"),IF(M48&lt;=1.8,HYPERLINK("http://www.lxhausys.co.kr/popup/rn/download/downloadPopup.jsp?from=plwindow&amp;uu=/upload/window/REPORT/LXH-EA24-048 F-250S-466KGGS2R5.pdf","3등급"),IF(M48&lt;=2.3,HYPERLINK("http://www.lxhausys.co.kr/popup/rn/download/downloadPopup.jsp?from=plwindow&amp;uu=/upload/window/REPORT/LXH-EA24-048 F-250S-466KGGS2R5.pdf","4등급"),IF(M48&lt;=2.8,HYPERLINK("http://www.lxhausys.co.kr/popup/rn/download/downloadPopup.jsp?from=plwindow&amp;uu=/upload/window/REPORT/LXH-EA24-048 F-250S-466KGGS2R5.pdf","5등급"),HYPERLINK("http://www.lxhausys.co.kr/popup/rn/download/downloadPopup.jsp?from=plwindow&amp;uu=/upload/window/REPORT/LXH-TW22-015 S-124-222FFGL1R51.pdf","등급외"))))))</f>
        <v>1등급</v>
      </c>
      <c r="M48" s="45">
        <v>0.58199999999999996</v>
      </c>
      <c r="N48" s="45">
        <v>0.81</v>
      </c>
      <c r="O48" s="42" t="s">
        <v>19</v>
      </c>
      <c r="P48" s="42" t="s">
        <v>22</v>
      </c>
      <c r="Q48" s="42" t="s">
        <v>19</v>
      </c>
      <c r="R48" s="42" t="s">
        <v>19</v>
      </c>
      <c r="S48" s="42" t="s">
        <v>19</v>
      </c>
      <c r="T48" s="42" t="s">
        <v>19</v>
      </c>
      <c r="U48" s="42" t="s">
        <v>19</v>
      </c>
      <c r="V48" s="42" t="s">
        <v>19</v>
      </c>
      <c r="W48" s="42" t="s">
        <v>19</v>
      </c>
      <c r="X48" s="42" t="s">
        <v>75</v>
      </c>
    </row>
    <row r="49" spans="1:24">
      <c r="A49" s="42" t="s">
        <v>679</v>
      </c>
      <c r="B49" s="43" t="s">
        <v>827</v>
      </c>
      <c r="C49" s="42" t="s">
        <v>1124</v>
      </c>
      <c r="D49" s="42" t="s">
        <v>20</v>
      </c>
      <c r="E49" s="43" t="s">
        <v>730</v>
      </c>
      <c r="F49" s="44" t="s">
        <v>743</v>
      </c>
      <c r="G49" s="43"/>
      <c r="H49" s="43"/>
      <c r="I49" s="43"/>
      <c r="J49" s="42" t="s">
        <v>1410</v>
      </c>
      <c r="K49" s="43" t="str">
        <f>VLOOKUP(C49,'[1]뷰프레임 전체_상세'!$B:$E,4,0)</f>
        <v>F-250S-466KGGG2A5</v>
      </c>
      <c r="L49" s="52" t="str">
        <f>IF(M49&lt;=0.9,HYPERLINK("http://www.lxhausys.co.kr/popup/rn/download/downloadPopup.jsp?from=plwindow&amp;uu=/upload/window/REPORT/LXH-EA24-049 F-250S-466KGGG2A5.pdf","1등급"),IF(M49&lt;=1.2,HYPERLINK("http://www.lxhausys.co.kr/popup/rn/download/downloadPopup.jsp?from=plwindow&amp;uu=/upload/window/REPORT/LXH-EA24-049 F-250S-466KGGG2A5.pdf","2등급"),IF(M49&lt;=1.8,HYPERLINK("http://www.lxhausys.co.kr/popup/rn/download/downloadPopup.jsp?from=plwindow&amp;uu=/upload/window/REPORT/LXH-EA24-049 F-250S-466KGGG2A5.pdf","3등급"),IF(M49&lt;=2.3,HYPERLINK("http://www.lxhausys.co.kr/popup/rn/download/downloadPopup.jsp?from=plwindow&amp;uu=/upload/window/REPORT/LXH-EA24-049 F-250S-466KGGG2A5.pdf","4등급"),IF(M49&lt;=2.8,HYPERLINK("http://www.lxhausys.co.kr/popup/rn/download/downloadPopup.jsp?from=plwindow&amp;uu=/upload/window/REPORT/LXH-EA24-049 F-250S-466KGGG2A5.pdf","5등급"),HYPERLINK("http://www.lxhausys.co.kr/popup/rn/download/downloadPopup.jsp?from=plwindow&amp;uu=/upload/window/REPORT/LXH-TW22-015 S-124-222FFGL1R52.pdf","등급외"))))))</f>
        <v>2등급</v>
      </c>
      <c r="M49" s="45">
        <v>0.90700000000000003</v>
      </c>
      <c r="N49" s="45">
        <v>0.79</v>
      </c>
      <c r="O49" s="42" t="s">
        <v>19</v>
      </c>
      <c r="P49" s="42" t="s">
        <v>22</v>
      </c>
      <c r="Q49" s="42" t="s">
        <v>19</v>
      </c>
      <c r="R49" s="42" t="s">
        <v>19</v>
      </c>
      <c r="S49" s="42" t="s">
        <v>19</v>
      </c>
      <c r="T49" s="42" t="s">
        <v>19</v>
      </c>
      <c r="U49" s="42" t="s">
        <v>19</v>
      </c>
      <c r="V49" s="42" t="s">
        <v>19</v>
      </c>
      <c r="W49" s="42" t="s">
        <v>19</v>
      </c>
      <c r="X49" s="42" t="s">
        <v>75</v>
      </c>
    </row>
    <row r="50" spans="1:24">
      <c r="A50" s="42" t="s">
        <v>678</v>
      </c>
      <c r="B50" s="43" t="s">
        <v>828</v>
      </c>
      <c r="C50" s="42" t="s">
        <v>1125</v>
      </c>
      <c r="D50" s="42" t="s">
        <v>20</v>
      </c>
      <c r="E50" s="43" t="s">
        <v>726</v>
      </c>
      <c r="F50" s="44"/>
      <c r="G50" s="43"/>
      <c r="H50" s="43"/>
      <c r="I50" s="43"/>
      <c r="J50" s="42" t="s">
        <v>1410</v>
      </c>
      <c r="K50" s="43" t="str">
        <f>VLOOKUP(C50,'[1]뷰프레임 전체_상세'!$B:$E,4,0)</f>
        <v>F-140S-228FFKG1A5</v>
      </c>
      <c r="L50" s="52" t="str">
        <f>IF(M50&lt;=0.9,HYPERLINK("http://www.lxhausys.co.kr/popup/rn/download/downloadPopup.jsp?from=plwindow&amp;uu=/upload/window/REPORT/LXH-EA24-050 F-140S-228FFKG1A5.pdf","1등급"),IF(M50&lt;=1.2,HYPERLINK("http://www.lxhausys.co.kr/popup/rn/download/downloadPopup.jsp?from=plwindow&amp;uu=/upload/window/REPORT/LXH-EA24-050 F-140S-228FFKG1A5.pdf","2등급"),IF(M50&lt;=1.8,HYPERLINK("http://www.lxhausys.co.kr/popup/rn/download/downloadPopup.jsp?from=plwindow&amp;uu=/upload/window/REPORT/LXH-EA24-050 F-140S-228FFKG1A5.pdf","3등급"),IF(M50&lt;=2.3,HYPERLINK("http://www.lxhausys.co.kr/popup/rn/download/downloadPopup.jsp?from=plwindow&amp;uu=/upload/window/REPORT/LXH-EA24-050 F-140S-228FFKG1A5.pdf","4등급"),IF(M50&lt;=2.8,HYPERLINK("http://www.lxhausys.co.kr/popup/rn/download/downloadPopup.jsp?from=plwindow&amp;uu=/upload/window/REPORT/LXH-EA24-050 F-140S-228FFKG1A5.pdf","5등급"),HYPERLINK("http://www.lxhausys.co.kr/popup/rn/download/downloadPopup.jsp?from=plwindow&amp;uu=/upload/window/REPORT/LXH-TW22-015 S-124-222FFGL1R53.pdf","등급외"))))))</f>
        <v>4등급</v>
      </c>
      <c r="M50" s="45">
        <v>1.8939999999999999</v>
      </c>
      <c r="N50" s="45">
        <v>1.32</v>
      </c>
      <c r="O50" s="42" t="s">
        <v>19</v>
      </c>
      <c r="P50" s="42" t="s">
        <v>103</v>
      </c>
      <c r="Q50" s="42" t="s">
        <v>19</v>
      </c>
      <c r="R50" s="42" t="s">
        <v>19</v>
      </c>
      <c r="S50" s="42" t="s">
        <v>19</v>
      </c>
      <c r="T50" s="42" t="s">
        <v>19</v>
      </c>
      <c r="U50" s="42" t="s">
        <v>19</v>
      </c>
      <c r="V50" s="42" t="s">
        <v>19</v>
      </c>
      <c r="W50" s="42" t="s">
        <v>19</v>
      </c>
      <c r="X50" s="42" t="s">
        <v>75</v>
      </c>
    </row>
    <row r="51" spans="1:24">
      <c r="A51" s="42" t="s">
        <v>678</v>
      </c>
      <c r="B51" s="43" t="s">
        <v>829</v>
      </c>
      <c r="C51" s="42" t="s">
        <v>1126</v>
      </c>
      <c r="D51" s="42" t="s">
        <v>20</v>
      </c>
      <c r="E51" s="43" t="s">
        <v>1073</v>
      </c>
      <c r="F51" s="44"/>
      <c r="G51" s="43"/>
      <c r="H51" s="43"/>
      <c r="I51" s="43"/>
      <c r="J51" s="42" t="s">
        <v>1410</v>
      </c>
      <c r="K51" s="43" t="str">
        <f>VLOOKUP(C51,'[1]뷰프레임 전체_상세'!$B:$E,4,0)</f>
        <v>F-140S-224FFGS1R5</v>
      </c>
      <c r="L51" s="52" t="str">
        <f>IF(M51&lt;=0.9,HYPERLINK("http://www.lxhausys.co.kr/popup/rn/download/downloadPopup.jsp?from=plwindow&amp;uu=/upload/window/REPORT/LXH-EA24-051 F-140S-224FFGS1R5.pdf","1등급"),IF(M51&lt;=1.2,HYPERLINK("http://www.lxhausys.co.kr/popup/rn/download/downloadPopup.jsp?from=plwindow&amp;uu=/upload/window/REPORT/LXH-EA24-051 F-140S-224FFGS1R5.pdf","2등급"),IF(M51&lt;=1.8,HYPERLINK("http://www.lxhausys.co.kr/popup/rn/download/downloadPopup.jsp?from=plwindow&amp;uu=/upload/window/REPORT/LXH-EA24-051 F-140S-224FFGS1R5.pdf","3등급"),IF(M51&lt;=2.3,HYPERLINK("http://www.lxhausys.co.kr/popup/rn/download/downloadPopup.jsp?from=plwindow&amp;uu=/upload/window/REPORT/LXH-EA24-051 F-140S-224FFGS1R5.pdf","4등급"),IF(M51&lt;=2.8,HYPERLINK("http://www.lxhausys.co.kr/popup/rn/download/downloadPopup.jsp?from=plwindow&amp;uu=/upload/window/REPORT/LXH-EA24-051 F-140S-224FFGS1R5.pdf","5등급"),HYPERLINK("http://www.lxhausys.co.kr/popup/rn/download/downloadPopup.jsp?from=plwindow&amp;uu=/upload/window/REPORT/LXH-TW22-015 S-124-222FFGL1R54.pdf","등급외"))))))</f>
        <v>3등급</v>
      </c>
      <c r="M51" s="45">
        <v>1.7989999999999999</v>
      </c>
      <c r="N51" s="45">
        <v>1.49</v>
      </c>
      <c r="O51" s="42" t="s">
        <v>19</v>
      </c>
      <c r="P51" s="42" t="s">
        <v>103</v>
      </c>
      <c r="Q51" s="42" t="s">
        <v>19</v>
      </c>
      <c r="R51" s="42" t="s">
        <v>19</v>
      </c>
      <c r="S51" s="42" t="s">
        <v>19</v>
      </c>
      <c r="T51" s="42" t="s">
        <v>19</v>
      </c>
      <c r="U51" s="42" t="s">
        <v>19</v>
      </c>
      <c r="V51" s="42" t="s">
        <v>19</v>
      </c>
      <c r="W51" s="42" t="s">
        <v>19</v>
      </c>
      <c r="X51" s="42" t="s">
        <v>75</v>
      </c>
    </row>
    <row r="52" spans="1:24">
      <c r="A52" s="42" t="s">
        <v>679</v>
      </c>
      <c r="B52" s="43" t="s">
        <v>830</v>
      </c>
      <c r="C52" s="42" t="s">
        <v>1127</v>
      </c>
      <c r="D52" s="42" t="s">
        <v>20</v>
      </c>
      <c r="E52" s="43" t="s">
        <v>732</v>
      </c>
      <c r="F52" s="44" t="s">
        <v>743</v>
      </c>
      <c r="G52" s="43"/>
      <c r="H52" s="43"/>
      <c r="I52" s="43"/>
      <c r="J52" s="42" t="s">
        <v>1410</v>
      </c>
      <c r="K52" s="43" t="str">
        <f>VLOOKUP(C52,'[1]뷰프레임 전체_상세'!$B:$E,4,0)</f>
        <v>F-250S-466KGGG1R5</v>
      </c>
      <c r="L52" s="52" t="str">
        <f>IF(M52&lt;=0.9,HYPERLINK("http://www.lxhausys.co.kr/popup/rn/download/downloadPopup.jsp?from=plwindow&amp;uu=/upload/window/REPORT/LXH-EA24-052 F-250S-466KGGG1R5.pdf","1등급"),IF(M52&lt;=1.2,HYPERLINK("http://www.lxhausys.co.kr/popup/rn/download/downloadPopup.jsp?from=plwindow&amp;uu=/upload/window/REPORT/LXH-EA24-052 F-250S-466KGGG1R5.pdf","2등급"),IF(M52&lt;=1.8,HYPERLINK("http://www.lxhausys.co.kr/popup/rn/download/downloadPopup.jsp?from=plwindow&amp;uu=/upload/window/REPORT/LXH-EA24-052 F-250S-466KGGG1R5.pdf","3등급"),IF(M52&lt;=2.3,HYPERLINK("http://www.lxhausys.co.kr/popup/rn/download/downloadPopup.jsp?from=plwindow&amp;uu=/upload/window/REPORT/LXH-EA24-052 F-250S-466KGGG1R5.pdf","4등급"),IF(M52&lt;=2.8,HYPERLINK("http://www.lxhausys.co.kr/popup/rn/download/downloadPopup.jsp?from=plwindow&amp;uu=/upload/window/REPORT/LXH-EA24-052 F-250S-466KGGG1R5.pdf","5등급"),HYPERLINK("http://www.lxhausys.co.kr/popup/rn/download/downloadPopup.jsp?from=plwindow&amp;uu=/upload/window/REPORT/LXH-TW22-015 S-124-222FFGL1R55.pdf","등급외"))))))</f>
        <v>1등급</v>
      </c>
      <c r="M52" s="45">
        <v>0.83899999999999997</v>
      </c>
      <c r="N52" s="45">
        <v>0.8</v>
      </c>
      <c r="O52" s="42" t="s">
        <v>19</v>
      </c>
      <c r="P52" s="42" t="s">
        <v>22</v>
      </c>
      <c r="Q52" s="42" t="s">
        <v>19</v>
      </c>
      <c r="R52" s="42" t="s">
        <v>19</v>
      </c>
      <c r="S52" s="42" t="s">
        <v>19</v>
      </c>
      <c r="T52" s="42" t="s">
        <v>19</v>
      </c>
      <c r="U52" s="42" t="s">
        <v>19</v>
      </c>
      <c r="V52" s="42" t="s">
        <v>19</v>
      </c>
      <c r="W52" s="42" t="s">
        <v>19</v>
      </c>
      <c r="X52" s="42" t="s">
        <v>75</v>
      </c>
    </row>
    <row r="53" spans="1:24">
      <c r="A53" s="42" t="s">
        <v>679</v>
      </c>
      <c r="B53" s="43" t="s">
        <v>831</v>
      </c>
      <c r="C53" s="42" t="s">
        <v>1128</v>
      </c>
      <c r="D53" s="42" t="s">
        <v>20</v>
      </c>
      <c r="E53" s="43" t="s">
        <v>731</v>
      </c>
      <c r="F53" s="44" t="s">
        <v>746</v>
      </c>
      <c r="G53" s="43"/>
      <c r="H53" s="43"/>
      <c r="I53" s="43"/>
      <c r="J53" s="42" t="s">
        <v>1410</v>
      </c>
      <c r="K53" s="43" t="str">
        <f>VLOOKUP(C53,'[1]뷰프레임 전체_상세'!$B:$E,4,0)</f>
        <v>F-250S-466GGGS2A5</v>
      </c>
      <c r="L53" s="52" t="str">
        <f>IF(M53&lt;=0.9,HYPERLINK("http://www.lxhausys.co.kr/popup/rn/download/downloadPopup.jsp?from=plwindow&amp;uu=/upload/window/REPORT/LXH-EA24-053 F-250S-466GGGS2A5.pdf","1등급"),IF(M53&lt;=1.2,HYPERLINK("http://www.lxhausys.co.kr/popup/rn/download/downloadPopup.jsp?from=plwindow&amp;uu=/upload/window/REPORT/LXH-EA24-053 F-250S-466GGGS2A5.pdf","2등급"),IF(M53&lt;=1.8,HYPERLINK("http://www.lxhausys.co.kr/popup/rn/download/downloadPopup.jsp?from=plwindow&amp;uu=/upload/window/REPORT/LXH-EA24-053 F-250S-466GGGS2A5.pdf","3등급"),IF(M53&lt;=2.3,HYPERLINK("http://www.lxhausys.co.kr/popup/rn/download/downloadPopup.jsp?from=plwindow&amp;uu=/upload/window/REPORT/LXH-EA24-053 F-250S-466GGGS2A5.pdf","4등급"),IF(M53&lt;=2.8,HYPERLINK("http://www.lxhausys.co.kr/popup/rn/download/downloadPopup.jsp?from=plwindow&amp;uu=/upload/window/REPORT/LXH-EA24-053 F-250S-466GGGS2A5.pdf","5등급"),HYPERLINK("http://www.lxhausys.co.kr/popup/rn/download/downloadPopup.jsp?from=plwindow&amp;uu=/upload/window/REPORT/LXH-TW22-015 S-124-222FFGL1R56.pdf","등급외"))))))</f>
        <v>2등급</v>
      </c>
      <c r="M53" s="45">
        <v>0.91400000000000003</v>
      </c>
      <c r="N53" s="45">
        <v>0.79</v>
      </c>
      <c r="O53" s="42" t="s">
        <v>19</v>
      </c>
      <c r="P53" s="42" t="s">
        <v>22</v>
      </c>
      <c r="Q53" s="42" t="s">
        <v>19</v>
      </c>
      <c r="R53" s="42" t="s">
        <v>19</v>
      </c>
      <c r="S53" s="42" t="s">
        <v>19</v>
      </c>
      <c r="T53" s="42" t="s">
        <v>19</v>
      </c>
      <c r="U53" s="42" t="s">
        <v>19</v>
      </c>
      <c r="V53" s="42" t="s">
        <v>19</v>
      </c>
      <c r="W53" s="42" t="s">
        <v>19</v>
      </c>
      <c r="X53" s="42" t="s">
        <v>75</v>
      </c>
    </row>
    <row r="54" spans="1:24">
      <c r="A54" s="42" t="s">
        <v>680</v>
      </c>
      <c r="B54" s="43" t="s">
        <v>832</v>
      </c>
      <c r="C54" s="42" t="s">
        <v>1129</v>
      </c>
      <c r="D54" s="42" t="s">
        <v>20</v>
      </c>
      <c r="E54" s="43" t="s">
        <v>725</v>
      </c>
      <c r="F54" s="44"/>
      <c r="G54" s="43"/>
      <c r="H54" s="43"/>
      <c r="I54" s="43"/>
      <c r="J54" s="42" t="s">
        <v>1410</v>
      </c>
      <c r="K54" s="43" t="str">
        <f>VLOOKUP(C54,'[1]뷰프레임 전체_상세'!$B:$E,4,0)</f>
        <v>F-230WS-228FFKG1R5</v>
      </c>
      <c r="L54" s="52" t="str">
        <f>IF(M54&lt;=0.9,HYPERLINK("http://www.lxhausys.co.kr/popup/rn/download/downloadPopup.jsp?from=plwindow&amp;uu=/upload/window/REPORT/LXH-EA24-054 F-230WS-228FFKG1R5.pdf","1등급"),IF(M54&lt;=1.2,HYPERLINK("http://www.lxhausys.co.kr/popup/rn/download/downloadPopup.jsp?from=plwindow&amp;uu=/upload/window/REPORT/LXH-EA24-054 F-230WS-228FFKG1R5.pdf","2등급"),IF(M54&lt;=1.8,HYPERLINK("http://www.lxhausys.co.kr/popup/rn/download/downloadPopup.jsp?from=plwindow&amp;uu=/upload/window/REPORT/LXH-EA24-054 F-230WS-228FFKG1R5.pdf","3등급"),IF(M54&lt;=2.3,HYPERLINK("http://www.lxhausys.co.kr/popup/rn/download/downloadPopup.jsp?from=plwindow&amp;uu=/upload/window/REPORT/LXH-EA24-054 F-230WS-228FFKG1R5.pdf","4등급"),IF(M54&lt;=2.8,HYPERLINK("http://www.lxhausys.co.kr/popup/rn/download/downloadPopup.jsp?from=plwindow&amp;uu=/upload/window/REPORT/LXH-EA24-054 F-230WS-228FFKG1R5.pdf","5등급"),HYPERLINK("http://www.lxhausys.co.kr/popup/rn/download/downloadPopup.jsp?from=plwindow&amp;uu=/upload/window/REPORT/LXH-TW22-015 S-124-222FFGL1R57.pdf","등급외"))))))</f>
        <v>3등급</v>
      </c>
      <c r="M54" s="45">
        <v>1.621</v>
      </c>
      <c r="N54" s="45">
        <v>1.59</v>
      </c>
      <c r="O54" s="42" t="s">
        <v>19</v>
      </c>
      <c r="P54" s="42" t="s">
        <v>103</v>
      </c>
      <c r="Q54" s="42" t="s">
        <v>19</v>
      </c>
      <c r="R54" s="42" t="s">
        <v>19</v>
      </c>
      <c r="S54" s="42" t="s">
        <v>19</v>
      </c>
      <c r="T54" s="42" t="s">
        <v>19</v>
      </c>
      <c r="U54" s="42" t="s">
        <v>19</v>
      </c>
      <c r="V54" s="42" t="s">
        <v>19</v>
      </c>
      <c r="W54" s="42" t="s">
        <v>19</v>
      </c>
      <c r="X54" s="42" t="s">
        <v>75</v>
      </c>
    </row>
    <row r="55" spans="1:24">
      <c r="A55" s="42" t="s">
        <v>680</v>
      </c>
      <c r="B55" s="43" t="s">
        <v>833</v>
      </c>
      <c r="C55" s="42" t="s">
        <v>1130</v>
      </c>
      <c r="D55" s="42" t="s">
        <v>20</v>
      </c>
      <c r="E55" s="43" t="s">
        <v>1070</v>
      </c>
      <c r="F55" s="44"/>
      <c r="G55" s="43"/>
      <c r="H55" s="43"/>
      <c r="I55" s="43"/>
      <c r="J55" s="42" t="s">
        <v>1410</v>
      </c>
      <c r="K55" s="43" t="str">
        <f>VLOOKUP(C55,'[1]뷰프레임 전체_상세'!$B:$E,4,0)</f>
        <v>F-230WS-226FFGS1A5</v>
      </c>
      <c r="L55" s="52" t="str">
        <f>IF(M55&lt;=0.9,HYPERLINK("http://www.lxhausys.co.kr/popup/rn/download/downloadPopup.jsp?from=plwindow&amp;uu=/upload/window/REPORT/LXH-EA24-055 F-230WS-226FFGS1A5.pdf","1등급"),IF(M55&lt;=1.2,HYPERLINK("http://www.lxhausys.co.kr/popup/rn/download/downloadPopup.jsp?from=plwindow&amp;uu=/upload/window/REPORT/LXH-EA24-055 F-230WS-226FFGS1A5.pdf","2등급"),IF(M55&lt;=1.8,HYPERLINK("http://www.lxhausys.co.kr/popup/rn/download/downloadPopup.jsp?from=plwindow&amp;uu=/upload/window/REPORT/LXH-EA24-055 F-230WS-226FFGS1A5.pdf","3등급"),IF(M55&lt;=2.3,HYPERLINK("http://www.lxhausys.co.kr/popup/rn/download/downloadPopup.jsp?from=plwindow&amp;uu=/upload/window/REPORT/LXH-EA24-055 F-230WS-226FFGS1A5.pdf","4등급"),IF(M55&lt;=2.8,HYPERLINK("http://www.lxhausys.co.kr/popup/rn/download/downloadPopup.jsp?from=plwindow&amp;uu=/upload/window/REPORT/LXH-EA24-055 F-230WS-226FFGS1A5.pdf","5등급"),HYPERLINK("http://www.lxhausys.co.kr/popup/rn/download/downloadPopup.jsp?from=plwindow&amp;uu=/upload/window/REPORT/LXH-TW22-015 S-124-222FFGL1R58.pdf","등급외"))))))</f>
        <v>4등급</v>
      </c>
      <c r="M55" s="45">
        <v>1.927</v>
      </c>
      <c r="N55" s="45">
        <v>1.55</v>
      </c>
      <c r="O55" s="42" t="s">
        <v>19</v>
      </c>
      <c r="P55" s="42" t="s">
        <v>103</v>
      </c>
      <c r="Q55" s="42" t="s">
        <v>19</v>
      </c>
      <c r="R55" s="42" t="s">
        <v>19</v>
      </c>
      <c r="S55" s="42" t="s">
        <v>19</v>
      </c>
      <c r="T55" s="42" t="s">
        <v>19</v>
      </c>
      <c r="U55" s="42" t="s">
        <v>19</v>
      </c>
      <c r="V55" s="42" t="s">
        <v>19</v>
      </c>
      <c r="W55" s="42" t="s">
        <v>19</v>
      </c>
      <c r="X55" s="42" t="s">
        <v>75</v>
      </c>
    </row>
    <row r="56" spans="1:24">
      <c r="A56" s="42" t="s">
        <v>680</v>
      </c>
      <c r="B56" s="43" t="s">
        <v>834</v>
      </c>
      <c r="C56" s="42" t="s">
        <v>1131</v>
      </c>
      <c r="D56" s="42" t="s">
        <v>20</v>
      </c>
      <c r="E56" s="43" t="s">
        <v>719</v>
      </c>
      <c r="F56" s="44"/>
      <c r="G56" s="43"/>
      <c r="H56" s="43"/>
      <c r="I56" s="43"/>
      <c r="J56" s="42" t="s">
        <v>1410</v>
      </c>
      <c r="K56" s="43" t="str">
        <f>VLOOKUP(C56,'[1]뷰프레임 전체_상세'!$B:$E,4,0)</f>
        <v>F-230WS-226FFKG1R5</v>
      </c>
      <c r="L56" s="52" t="str">
        <f>IF(M56&lt;=0.9,HYPERLINK("http://www.lxhausys.co.kr/popup/rn/download/downloadPopup.jsp?from=plwindow&amp;uu=/upload/window/REPORT/LXH-EA24-056 F-230WS-226FFKG1R5.pdf","1등급"),IF(M56&lt;=1.2,HYPERLINK("http://www.lxhausys.co.kr/popup/rn/download/downloadPopup.jsp?from=plwindow&amp;uu=/upload/window/REPORT/LXH-EA24-056 F-230WS-226FFKG1R5.pdf","2등급"),IF(M56&lt;=1.8,HYPERLINK("http://www.lxhausys.co.kr/popup/rn/download/downloadPopup.jsp?from=plwindow&amp;uu=/upload/window/REPORT/LXH-EA24-056 F-230WS-226FFKG1R5.pdf","3등급"),IF(M56&lt;=2.3,HYPERLINK("http://www.lxhausys.co.kr/popup/rn/download/downloadPopup.jsp?from=plwindow&amp;uu=/upload/window/REPORT/LXH-EA24-056 F-230WS-226FFKG1R5.pdf","4등급"),IF(M56&lt;=2.8,HYPERLINK("http://www.lxhausys.co.kr/popup/rn/download/downloadPopup.jsp?from=plwindow&amp;uu=/upload/window/REPORT/LXH-EA24-056 F-230WS-226FFKG1R5.pdf","5등급"),HYPERLINK("http://www.lxhausys.co.kr/popup/rn/download/downloadPopup.jsp?from=plwindow&amp;uu=/upload/window/REPORT/LXH-TW22-015 S-124-222FFGL1R59.pdf","등급외"))))))</f>
        <v>3등급</v>
      </c>
      <c r="M56" s="45">
        <v>1.595</v>
      </c>
      <c r="N56" s="45">
        <v>1.61</v>
      </c>
      <c r="O56" s="42" t="s">
        <v>19</v>
      </c>
      <c r="P56" s="42" t="s">
        <v>103</v>
      </c>
      <c r="Q56" s="42" t="s">
        <v>19</v>
      </c>
      <c r="R56" s="42" t="s">
        <v>19</v>
      </c>
      <c r="S56" s="42" t="s">
        <v>19</v>
      </c>
      <c r="T56" s="42" t="s">
        <v>19</v>
      </c>
      <c r="U56" s="42" t="s">
        <v>19</v>
      </c>
      <c r="V56" s="42" t="s">
        <v>19</v>
      </c>
      <c r="W56" s="42" t="s">
        <v>19</v>
      </c>
      <c r="X56" s="42" t="s">
        <v>75</v>
      </c>
    </row>
    <row r="57" spans="1:24">
      <c r="A57" s="42" t="s">
        <v>680</v>
      </c>
      <c r="B57" s="43" t="s">
        <v>835</v>
      </c>
      <c r="C57" s="42" t="s">
        <v>1132</v>
      </c>
      <c r="D57" s="42" t="s">
        <v>20</v>
      </c>
      <c r="E57" s="43" t="s">
        <v>714</v>
      </c>
      <c r="F57" s="44"/>
      <c r="G57" s="43"/>
      <c r="H57" s="43"/>
      <c r="I57" s="43"/>
      <c r="J57" s="42" t="s">
        <v>1410</v>
      </c>
      <c r="K57" s="43" t="str">
        <f>VLOOKUP(C57,'[1]뷰프레임 전체_상세'!$B:$E,4,0)</f>
        <v>F-230WS-226FFKG1A5</v>
      </c>
      <c r="L57" s="52" t="str">
        <f>IF(M57&lt;=0.9,HYPERLINK("http://www.lxhausys.co.kr/popup/rn/download/downloadPopup.jsp?from=plwindow&amp;uu=/upload/window/REPORT/LXH-EA24-057 F-230WS-226FFKG1A5.pdf","1등급"),IF(M57&lt;=1.2,HYPERLINK("http://www.lxhausys.co.kr/popup/rn/download/downloadPopup.jsp?from=plwindow&amp;uu=/upload/window/REPORT/LXH-EA24-057 F-230WS-226FFKG1A5.pdf","2등급"),IF(M57&lt;=1.8,HYPERLINK("http://www.lxhausys.co.kr/popup/rn/download/downloadPopup.jsp?from=plwindow&amp;uu=/upload/window/REPORT/LXH-EA24-057 F-230WS-226FFKG1A5.pdf","3등급"),IF(M57&lt;=2.3,HYPERLINK("http://www.lxhausys.co.kr/popup/rn/download/downloadPopup.jsp?from=plwindow&amp;uu=/upload/window/REPORT/LXH-EA24-057 F-230WS-226FFKG1A5.pdf","4등급"),IF(M57&lt;=2.8,HYPERLINK("http://www.lxhausys.co.kr/popup/rn/download/downloadPopup.jsp?from=plwindow&amp;uu=/upload/window/REPORT/LXH-EA24-057 F-230WS-226FFKG1A5.pdf","5등급"),HYPERLINK("http://www.lxhausys.co.kr/popup/rn/download/downloadPopup.jsp?from=plwindow&amp;uu=/upload/window/REPORT/LXH-TW22-015 S-124-222FFGL1R60.pdf","등급외"))))))</f>
        <v>4등급</v>
      </c>
      <c r="M57" s="45">
        <v>1.8080000000000001</v>
      </c>
      <c r="N57" s="45">
        <v>1.54</v>
      </c>
      <c r="O57" s="42" t="s">
        <v>19</v>
      </c>
      <c r="P57" s="42" t="s">
        <v>103</v>
      </c>
      <c r="Q57" s="42" t="s">
        <v>19</v>
      </c>
      <c r="R57" s="42" t="s">
        <v>19</v>
      </c>
      <c r="S57" s="42" t="s">
        <v>19</v>
      </c>
      <c r="T57" s="42" t="s">
        <v>19</v>
      </c>
      <c r="U57" s="42" t="s">
        <v>19</v>
      </c>
      <c r="V57" s="42" t="s">
        <v>19</v>
      </c>
      <c r="W57" s="42" t="s">
        <v>19</v>
      </c>
      <c r="X57" s="42" t="s">
        <v>75</v>
      </c>
    </row>
    <row r="58" spans="1:24">
      <c r="A58" s="42" t="s">
        <v>678</v>
      </c>
      <c r="B58" s="43" t="s">
        <v>836</v>
      </c>
      <c r="C58" s="42" t="s">
        <v>1133</v>
      </c>
      <c r="D58" s="42" t="s">
        <v>20</v>
      </c>
      <c r="E58" s="43" t="s">
        <v>1074</v>
      </c>
      <c r="F58" s="44"/>
      <c r="G58" s="43"/>
      <c r="H58" s="43"/>
      <c r="I58" s="43"/>
      <c r="J58" s="42" t="s">
        <v>1410</v>
      </c>
      <c r="K58" s="43" t="str">
        <f>VLOOKUP(C58,'[1]뷰프레임 전체_상세'!$B:$E,4,0)</f>
        <v>F-140S-224FFGS1A5</v>
      </c>
      <c r="L58" s="52" t="str">
        <f>IF(M58&lt;=0.9,HYPERLINK("http://www.lxhausys.co.kr/popup/rn/download/downloadPopup.jsp?from=plwindow&amp;uu=/upload/window/REPORT/LXH-EA24-058 F-140S-224FFGS1A5.pdf","1등급"),IF(M58&lt;=1.2,HYPERLINK("http://www.lxhausys.co.kr/popup/rn/download/downloadPopup.jsp?from=plwindow&amp;uu=/upload/window/REPORT/LXH-EA24-058 F-140S-224FFGS1A5.pdf","2등급"),IF(M58&lt;=1.8,HYPERLINK("http://www.lxhausys.co.kr/popup/rn/download/downloadPopup.jsp?from=plwindow&amp;uu=/upload/window/REPORT/LXH-EA24-058 F-140S-224FFGS1A5.pdf","3등급"),IF(M58&lt;=2.3,HYPERLINK("http://www.lxhausys.co.kr/popup/rn/download/downloadPopup.jsp?from=plwindow&amp;uu=/upload/window/REPORT/LXH-EA24-058 F-140S-224FFGS1A5.pdf","4등급"),IF(M58&lt;=2.8,HYPERLINK("http://www.lxhausys.co.kr/popup/rn/download/downloadPopup.jsp?from=plwindow&amp;uu=/upload/window/REPORT/LXH-EA24-058 F-140S-224FFGS1A5.pdf","5등급"),HYPERLINK("http://www.lxhausys.co.kr/popup/rn/download/downloadPopup.jsp?from=plwindow&amp;uu=/upload/window/REPORT/LXH-TW22-015 S-124-222FFGL1R61.pdf","등급외"))))))</f>
        <v>4등급</v>
      </c>
      <c r="M58" s="45">
        <v>2.0529999999999999</v>
      </c>
      <c r="N58" s="45">
        <v>1.34</v>
      </c>
      <c r="O58" s="42" t="s">
        <v>19</v>
      </c>
      <c r="P58" s="42" t="s">
        <v>103</v>
      </c>
      <c r="Q58" s="42" t="s">
        <v>19</v>
      </c>
      <c r="R58" s="42" t="s">
        <v>19</v>
      </c>
      <c r="S58" s="42" t="s">
        <v>19</v>
      </c>
      <c r="T58" s="42" t="s">
        <v>19</v>
      </c>
      <c r="U58" s="42" t="s">
        <v>19</v>
      </c>
      <c r="V58" s="42" t="s">
        <v>19</v>
      </c>
      <c r="W58" s="42" t="s">
        <v>19</v>
      </c>
      <c r="X58" s="42" t="s">
        <v>75</v>
      </c>
    </row>
    <row r="59" spans="1:24">
      <c r="A59" s="42" t="s">
        <v>677</v>
      </c>
      <c r="B59" s="43" t="s">
        <v>837</v>
      </c>
      <c r="C59" s="42" t="s">
        <v>1134</v>
      </c>
      <c r="D59" s="42" t="s">
        <v>20</v>
      </c>
      <c r="E59" s="43" t="s">
        <v>734</v>
      </c>
      <c r="F59" s="44" t="s">
        <v>747</v>
      </c>
      <c r="G59" s="43"/>
      <c r="H59" s="43"/>
      <c r="I59" s="43"/>
      <c r="J59" s="42" t="s">
        <v>1410</v>
      </c>
      <c r="K59" s="43" t="str">
        <f>VLOOKUP(C59,'[1]뷰프레임 전체_상세'!$B:$E,4,0)</f>
        <v>F-285-488KGGG2A5</v>
      </c>
      <c r="L59" s="52" t="str">
        <f>IF(M59&lt;=0.9,HYPERLINK("http://www.lxhausys.co.kr/popup/rn/download/downloadPopup.jsp?from=plwindow&amp;uu=/upload/window/REPORT/LXH-EA24-059 F-285-488KGGG2A5.pdf","1등급"),IF(M59&lt;=1.2,HYPERLINK("http://www.lxhausys.co.kr/popup/rn/download/downloadPopup.jsp?from=plwindow&amp;uu=/upload/window/REPORT/LXH-EA24-059 F-285-488KGGG2A5.pdf","2등급"),IF(M59&lt;=1.8,HYPERLINK("http://www.lxhausys.co.kr/popup/rn/download/downloadPopup.jsp?from=plwindow&amp;uu=/upload/window/REPORT/LXH-EA24-059 F-285-488KGGG2A5.pdf","3등급"),IF(M59&lt;=2.3,HYPERLINK("http://www.lxhausys.co.kr/popup/rn/download/downloadPopup.jsp?from=plwindow&amp;uu=/upload/window/REPORT/LXH-EA24-059 F-285-488KGGG2A5.pdf","4등급"),IF(M59&lt;=2.8,HYPERLINK("http://www.lxhausys.co.kr/popup/rn/download/downloadPopup.jsp?from=plwindow&amp;uu=/upload/window/REPORT/LXH-EA24-059 F-285-488KGGG2A5.pdf","5등급"),HYPERLINK("http://www.lxhausys.co.kr/popup/rn/download/downloadPopup.jsp?from=plwindow&amp;uu=/upload/window/REPORT/LXH-TW22-015 S-124-222FFGL1R62.pdf","등급외"))))))</f>
        <v>1등급</v>
      </c>
      <c r="M59" s="45">
        <v>0.83699999999999997</v>
      </c>
      <c r="N59" s="45">
        <v>0.88</v>
      </c>
      <c r="O59" s="42" t="s">
        <v>19</v>
      </c>
      <c r="P59" s="42" t="s">
        <v>22</v>
      </c>
      <c r="Q59" s="42" t="s">
        <v>19</v>
      </c>
      <c r="R59" s="42" t="s">
        <v>19</v>
      </c>
      <c r="S59" s="42" t="s">
        <v>19</v>
      </c>
      <c r="T59" s="42" t="s">
        <v>19</v>
      </c>
      <c r="U59" s="42" t="s">
        <v>19</v>
      </c>
      <c r="V59" s="42" t="s">
        <v>19</v>
      </c>
      <c r="W59" s="42" t="s">
        <v>19</v>
      </c>
      <c r="X59" s="42" t="s">
        <v>75</v>
      </c>
    </row>
    <row r="60" spans="1:24">
      <c r="A60" s="42" t="s">
        <v>676</v>
      </c>
      <c r="B60" s="43" t="s">
        <v>838</v>
      </c>
      <c r="C60" s="42" t="s">
        <v>1135</v>
      </c>
      <c r="D60" s="42" t="s">
        <v>20</v>
      </c>
      <c r="E60" s="43" t="s">
        <v>734</v>
      </c>
      <c r="F60" s="44" t="s">
        <v>747</v>
      </c>
      <c r="G60" s="43"/>
      <c r="H60" s="43"/>
      <c r="I60" s="43"/>
      <c r="J60" s="42" t="s">
        <v>1410</v>
      </c>
      <c r="K60" s="43" t="str">
        <f>VLOOKUP(C60,'[1]뷰프레임 전체_상세'!$B:$E,4,0)</f>
        <v>F-265-488KGGG2A5</v>
      </c>
      <c r="L60" s="52" t="str">
        <f>IF(M60&lt;=0.9,HYPERLINK("http://www.lxhausys.co.kr/popup/rn/download/downloadPopup.jsp?from=plwindow&amp;uu=/upload/window/REPORT/LXH-EA24-060 F-265-488KGGG2A5.pdf","1등급"),IF(M60&lt;=1.2,HYPERLINK("http://www.lxhausys.co.kr/popup/rn/download/downloadPopup.jsp?from=plwindow&amp;uu=/upload/window/REPORT/LXH-EA24-060 F-265-488KGGG2A5.pdf","2등급"),IF(M60&lt;=1.8,HYPERLINK("http://www.lxhausys.co.kr/popup/rn/download/downloadPopup.jsp?from=plwindow&amp;uu=/upload/window/REPORT/LXH-EA24-060 F-265-488KGGG2A5.pdf","3등급"),IF(M60&lt;=2.3,HYPERLINK("http://www.lxhausys.co.kr/popup/rn/download/downloadPopup.jsp?from=plwindow&amp;uu=/upload/window/REPORT/LXH-EA24-060 F-265-488KGGG2A5.pdf","4등급"),IF(M60&lt;=2.8,HYPERLINK("http://www.lxhausys.co.kr/popup/rn/download/downloadPopup.jsp?from=plwindow&amp;uu=/upload/window/REPORT/LXH-EA24-060 F-265-488KGGG2A5.pdf","5등급"),HYPERLINK("http://www.lxhausys.co.kr/popup/rn/download/downloadPopup.jsp?from=plwindow&amp;uu=/upload/window/REPORT/LXH-TW22-015 S-124-222FFGL1R63.pdf","등급외"))))))</f>
        <v>1등급</v>
      </c>
      <c r="M60" s="45">
        <v>0.84399999999999997</v>
      </c>
      <c r="N60" s="45">
        <v>0.89</v>
      </c>
      <c r="O60" s="42" t="s">
        <v>19</v>
      </c>
      <c r="P60" s="42" t="s">
        <v>22</v>
      </c>
      <c r="Q60" s="42" t="s">
        <v>19</v>
      </c>
      <c r="R60" s="42" t="s">
        <v>19</v>
      </c>
      <c r="S60" s="42" t="s">
        <v>19</v>
      </c>
      <c r="T60" s="42" t="s">
        <v>19</v>
      </c>
      <c r="U60" s="42" t="s">
        <v>19</v>
      </c>
      <c r="V60" s="42" t="s">
        <v>19</v>
      </c>
      <c r="W60" s="42" t="s">
        <v>19</v>
      </c>
      <c r="X60" s="42" t="s">
        <v>75</v>
      </c>
    </row>
    <row r="61" spans="1:24">
      <c r="A61" s="42" t="s">
        <v>676</v>
      </c>
      <c r="B61" s="43" t="s">
        <v>839</v>
      </c>
      <c r="C61" s="42" t="s">
        <v>1136</v>
      </c>
      <c r="D61" s="42" t="s">
        <v>20</v>
      </c>
      <c r="E61" s="43" t="s">
        <v>735</v>
      </c>
      <c r="F61" s="44" t="s">
        <v>745</v>
      </c>
      <c r="G61" s="43"/>
      <c r="H61" s="43"/>
      <c r="I61" s="43"/>
      <c r="J61" s="42" t="s">
        <v>1410</v>
      </c>
      <c r="K61" s="43" t="str">
        <f>VLOOKUP(C61,'[1]뷰프레임 전체_상세'!$B:$E,4,0)</f>
        <v>F-265-488GGGS1R5</v>
      </c>
      <c r="L61" s="52" t="str">
        <f>IF(M61&lt;=0.9,HYPERLINK("http://www.lxhausys.co.kr/popup/rn/download/downloadPopup.jsp?from=plwindow&amp;uu=/upload/window/REPORT/LXH-EA24-061 F-265-488GGGS1R5.pdf","1등급"),IF(M61&lt;=1.2,HYPERLINK("http://www.lxhausys.co.kr/popup/rn/download/downloadPopup.jsp?from=plwindow&amp;uu=/upload/window/REPORT/LXH-EA24-061 F-265-488GGGS1R5.pdf","2등급"),IF(M61&lt;=1.8,HYPERLINK("http://www.lxhausys.co.kr/popup/rn/download/downloadPopup.jsp?from=plwindow&amp;uu=/upload/window/REPORT/LXH-EA24-061 F-265-488GGGS1R5.pdf","3등급"),IF(M61&lt;=2.3,HYPERLINK("http://www.lxhausys.co.kr/popup/rn/download/downloadPopup.jsp?from=plwindow&amp;uu=/upload/window/REPORT/LXH-EA24-061 F-265-488GGGS1R5.pdf","4등급"),IF(M61&lt;=2.8,HYPERLINK("http://www.lxhausys.co.kr/popup/rn/download/downloadPopup.jsp?from=plwindow&amp;uu=/upload/window/REPORT/LXH-EA24-061 F-265-488GGGS1R5.pdf","5등급"),HYPERLINK("http://www.lxhausys.co.kr/popup/rn/download/downloadPopup.jsp?from=plwindow&amp;uu=/upload/window/REPORT/LXH-TW22-015 S-124-222FFGL1R64.pdf","등급외"))))))</f>
        <v>1등급</v>
      </c>
      <c r="M61" s="45">
        <v>0.76</v>
      </c>
      <c r="N61" s="45">
        <v>0.83</v>
      </c>
      <c r="O61" s="42" t="s">
        <v>19</v>
      </c>
      <c r="P61" s="42" t="s">
        <v>22</v>
      </c>
      <c r="Q61" s="42" t="s">
        <v>19</v>
      </c>
      <c r="R61" s="42" t="s">
        <v>19</v>
      </c>
      <c r="S61" s="42" t="s">
        <v>19</v>
      </c>
      <c r="T61" s="42" t="s">
        <v>19</v>
      </c>
      <c r="U61" s="42" t="s">
        <v>19</v>
      </c>
      <c r="V61" s="42" t="s">
        <v>19</v>
      </c>
      <c r="W61" s="42" t="s">
        <v>19</v>
      </c>
      <c r="X61" s="42" t="s">
        <v>75</v>
      </c>
    </row>
    <row r="62" spans="1:24">
      <c r="A62" s="42" t="s">
        <v>676</v>
      </c>
      <c r="B62" s="43" t="s">
        <v>840</v>
      </c>
      <c r="C62" s="42" t="s">
        <v>1137</v>
      </c>
      <c r="D62" s="42" t="s">
        <v>20</v>
      </c>
      <c r="E62" s="43" t="s">
        <v>735</v>
      </c>
      <c r="F62" s="44" t="s">
        <v>748</v>
      </c>
      <c r="G62" s="43"/>
      <c r="H62" s="43"/>
      <c r="I62" s="43"/>
      <c r="J62" s="42" t="s">
        <v>1410</v>
      </c>
      <c r="K62" s="43" t="str">
        <f>VLOOKUP(C62,'[1]뷰프레임 전체_상세'!$B:$E,4,0)</f>
        <v>F-265-488GGGS2A5</v>
      </c>
      <c r="L62" s="52" t="str">
        <f>IF(M62&lt;=0.9,HYPERLINK("http://www.lxhausys.co.kr/popup/rn/download/downloadPopup.jsp?from=plwindow&amp;uu=/upload/window/REPORT/LXH-EA24-062 F-265-488GGGS2A5.pdf","1등급"),IF(M62&lt;=1.2,HYPERLINK("http://www.lxhausys.co.kr/popup/rn/download/downloadPopup.jsp?from=plwindow&amp;uu=/upload/window/REPORT/LXH-EA24-062 F-265-488GGGS2A5.pdf","2등급"),IF(M62&lt;=1.8,HYPERLINK("http://www.lxhausys.co.kr/popup/rn/download/downloadPopup.jsp?from=plwindow&amp;uu=/upload/window/REPORT/LXH-EA24-062 F-265-488GGGS2A5.pdf","3등급"),IF(M62&lt;=2.3,HYPERLINK("http://www.lxhausys.co.kr/popup/rn/download/downloadPopup.jsp?from=plwindow&amp;uu=/upload/window/REPORT/LXH-EA24-062 F-265-488GGGS2A5.pdf","4등급"),IF(M62&lt;=2.8,HYPERLINK("http://www.lxhausys.co.kr/popup/rn/download/downloadPopup.jsp?from=plwindow&amp;uu=/upload/window/REPORT/LXH-EA24-062 F-265-488GGGS2A5.pdf","5등급"),HYPERLINK("http://www.lxhausys.co.kr/popup/rn/download/downloadPopup.jsp?from=plwindow&amp;uu=/upload/window/REPORT/LXH-TW22-015 S-124-222FFGL1R65.pdf","등급외"))))))</f>
        <v>1등급</v>
      </c>
      <c r="M62" s="45">
        <v>0.83899999999999997</v>
      </c>
      <c r="N62" s="45">
        <v>0.89</v>
      </c>
      <c r="O62" s="42" t="s">
        <v>19</v>
      </c>
      <c r="P62" s="42" t="s">
        <v>22</v>
      </c>
      <c r="Q62" s="42" t="s">
        <v>19</v>
      </c>
      <c r="R62" s="42" t="s">
        <v>19</v>
      </c>
      <c r="S62" s="42" t="s">
        <v>19</v>
      </c>
      <c r="T62" s="42" t="s">
        <v>19</v>
      </c>
      <c r="U62" s="42" t="s">
        <v>19</v>
      </c>
      <c r="V62" s="42" t="s">
        <v>19</v>
      </c>
      <c r="W62" s="42" t="s">
        <v>19</v>
      </c>
      <c r="X62" s="42" t="s">
        <v>75</v>
      </c>
    </row>
    <row r="63" spans="1:24">
      <c r="A63" s="42" t="s">
        <v>677</v>
      </c>
      <c r="B63" s="43" t="s">
        <v>841</v>
      </c>
      <c r="C63" s="42" t="s">
        <v>1138</v>
      </c>
      <c r="D63" s="42" t="s">
        <v>20</v>
      </c>
      <c r="E63" s="43" t="s">
        <v>735</v>
      </c>
      <c r="F63" s="44" t="s">
        <v>748</v>
      </c>
      <c r="G63" s="43"/>
      <c r="H63" s="43"/>
      <c r="I63" s="43"/>
      <c r="J63" s="42" t="s">
        <v>1410</v>
      </c>
      <c r="K63" s="43" t="str">
        <f>VLOOKUP(C63,'[1]뷰프레임 전체_상세'!$B:$E,4,0)</f>
        <v>F-285-488GGGS2A5</v>
      </c>
      <c r="L63" s="52" t="str">
        <f>IF(M63&lt;=0.9,HYPERLINK("http://www.lxhausys.co.kr/popup/rn/download/downloadPopup.jsp?from=plwindow&amp;uu=/upload/window/REPORT/LXH-EA24-063 F-285-488GGGS2A5.pdf","1등급"),IF(M63&lt;=1.2,HYPERLINK("http://www.lxhausys.co.kr/popup/rn/download/downloadPopup.jsp?from=plwindow&amp;uu=/upload/window/REPORT/LXH-EA24-063 F-285-488GGGS2A5.pdf","2등급"),IF(M63&lt;=1.8,HYPERLINK("http://www.lxhausys.co.kr/popup/rn/download/downloadPopup.jsp?from=plwindow&amp;uu=/upload/window/REPORT/LXH-EA24-063 F-285-488GGGS2A5.pdf","3등급"),IF(M63&lt;=2.3,HYPERLINK("http://www.lxhausys.co.kr/popup/rn/download/downloadPopup.jsp?from=plwindow&amp;uu=/upload/window/REPORT/LXH-EA24-063 F-285-488GGGS2A5.pdf","4등급"),IF(M63&lt;=2.8,HYPERLINK("http://www.lxhausys.co.kr/popup/rn/download/downloadPopup.jsp?from=plwindow&amp;uu=/upload/window/REPORT/LXH-EA24-063 F-285-488GGGS2A5.pdf","5등급"),HYPERLINK("http://www.lxhausys.co.kr/popup/rn/download/downloadPopup.jsp?from=plwindow&amp;uu=/upload/window/REPORT/LXH-TW22-015 S-124-222FFGL1R66.pdf","등급외"))))))</f>
        <v>1등급</v>
      </c>
      <c r="M63" s="45">
        <v>0.83499999999999996</v>
      </c>
      <c r="N63" s="45">
        <v>0.84</v>
      </c>
      <c r="O63" s="42" t="s">
        <v>19</v>
      </c>
      <c r="P63" s="42" t="s">
        <v>22</v>
      </c>
      <c r="Q63" s="42" t="s">
        <v>19</v>
      </c>
      <c r="R63" s="42" t="s">
        <v>19</v>
      </c>
      <c r="S63" s="42" t="s">
        <v>19</v>
      </c>
      <c r="T63" s="42" t="s">
        <v>19</v>
      </c>
      <c r="U63" s="42" t="s">
        <v>19</v>
      </c>
      <c r="V63" s="42" t="s">
        <v>19</v>
      </c>
      <c r="W63" s="42" t="s">
        <v>19</v>
      </c>
      <c r="X63" s="42" t="s">
        <v>75</v>
      </c>
    </row>
    <row r="64" spans="1:24">
      <c r="A64" s="42" t="s">
        <v>676</v>
      </c>
      <c r="B64" s="43" t="s">
        <v>842</v>
      </c>
      <c r="C64" s="42" t="s">
        <v>1139</v>
      </c>
      <c r="D64" s="42" t="s">
        <v>20</v>
      </c>
      <c r="E64" s="43" t="s">
        <v>733</v>
      </c>
      <c r="F64" s="44" t="s">
        <v>747</v>
      </c>
      <c r="G64" s="43"/>
      <c r="H64" s="43"/>
      <c r="I64" s="43"/>
      <c r="J64" s="42" t="s">
        <v>1410</v>
      </c>
      <c r="K64" s="43" t="str">
        <f>VLOOKUP(C64,'[1]뷰프레임 전체_상세'!$B:$E,4,0)</f>
        <v>F-265-488KGGG1R5</v>
      </c>
      <c r="L64" s="52" t="str">
        <f>IF(M64&lt;=0.9,HYPERLINK("http://www.lxhausys.co.kr/popup/rn/download/downloadPopup.jsp?from=plwindow&amp;uu=/upload/window/REPORT/LXH-EA24-064 F-265-488KGGG1R5.pdf","1등급"),IF(M64&lt;=1.2,HYPERLINK("http://www.lxhausys.co.kr/popup/rn/download/downloadPopup.jsp?from=plwindow&amp;uu=/upload/window/REPORT/LXH-EA24-064 F-265-488KGGG1R5.pdf","2등급"),IF(M64&lt;=1.8,HYPERLINK("http://www.lxhausys.co.kr/popup/rn/download/downloadPopup.jsp?from=plwindow&amp;uu=/upload/window/REPORT/LXH-EA24-064 F-265-488KGGG1R5.pdf","3등급"),IF(M64&lt;=2.3,HYPERLINK("http://www.lxhausys.co.kr/popup/rn/download/downloadPopup.jsp?from=plwindow&amp;uu=/upload/window/REPORT/LXH-EA24-064 F-265-488KGGG1R5.pdf","4등급"),IF(M64&lt;=2.8,HYPERLINK("http://www.lxhausys.co.kr/popup/rn/download/downloadPopup.jsp?from=plwindow&amp;uu=/upload/window/REPORT/LXH-EA24-064 F-265-488KGGG1R5.pdf","5등급"),HYPERLINK("http://www.lxhausys.co.kr/popup/rn/download/downloadPopup.jsp?from=plwindow&amp;uu=/upload/window/REPORT/LXH-TW22-015 S-124-222FFGL1R67.pdf","등급외"))))))</f>
        <v>1등급</v>
      </c>
      <c r="M64" s="45">
        <v>0.80500000000000005</v>
      </c>
      <c r="N64" s="45">
        <v>0.88</v>
      </c>
      <c r="O64" s="42" t="s">
        <v>19</v>
      </c>
      <c r="P64" s="42" t="s">
        <v>22</v>
      </c>
      <c r="Q64" s="42" t="s">
        <v>19</v>
      </c>
      <c r="R64" s="42" t="s">
        <v>19</v>
      </c>
      <c r="S64" s="42" t="s">
        <v>19</v>
      </c>
      <c r="T64" s="42" t="s">
        <v>19</v>
      </c>
      <c r="U64" s="42" t="s">
        <v>19</v>
      </c>
      <c r="V64" s="42" t="s">
        <v>19</v>
      </c>
      <c r="W64" s="42" t="s">
        <v>19</v>
      </c>
      <c r="X64" s="42" t="s">
        <v>75</v>
      </c>
    </row>
    <row r="65" spans="1:24">
      <c r="A65" s="42" t="s">
        <v>677</v>
      </c>
      <c r="B65" s="43" t="s">
        <v>843</v>
      </c>
      <c r="C65" s="42" t="s">
        <v>1140</v>
      </c>
      <c r="D65" s="42" t="s">
        <v>20</v>
      </c>
      <c r="E65" s="43" t="s">
        <v>735</v>
      </c>
      <c r="F65" s="44" t="s">
        <v>745</v>
      </c>
      <c r="G65" s="43"/>
      <c r="H65" s="43"/>
      <c r="I65" s="43"/>
      <c r="J65" s="42" t="s">
        <v>1410</v>
      </c>
      <c r="K65" s="43" t="str">
        <f>VLOOKUP(C65,'[1]뷰프레임 전체_상세'!$B:$E,4,0)</f>
        <v>F-285-488GGGS1R5</v>
      </c>
      <c r="L65" s="52" t="str">
        <f>IF(M65&lt;=0.9,HYPERLINK("http://www.lxhausys.co.kr/popup/rn/download/downloadPopup.jsp?from=plwindow&amp;uu=/upload/window/REPORT/LXH-EA24-065 F-285-488GGGS1R5.pdf","1등급"),IF(M65&lt;=1.2,HYPERLINK("http://www.lxhausys.co.kr/popup/rn/download/downloadPopup.jsp?from=plwindow&amp;uu=/upload/window/REPORT/LXH-EA24-065 F-285-488GGGS1R5.pdf","2등급"),IF(M65&lt;=1.8,HYPERLINK("http://www.lxhausys.co.kr/popup/rn/download/downloadPopup.jsp?from=plwindow&amp;uu=/upload/window/REPORT/LXH-EA24-065 F-285-488GGGS1R5.pdf","3등급"),IF(M65&lt;=2.3,HYPERLINK("http://www.lxhausys.co.kr/popup/rn/download/downloadPopup.jsp?from=plwindow&amp;uu=/upload/window/REPORT/LXH-EA24-065 F-285-488GGGS1R5.pdf","4등급"),IF(M65&lt;=2.8,HYPERLINK("http://www.lxhausys.co.kr/popup/rn/download/downloadPopup.jsp?from=plwindow&amp;uu=/upload/window/REPORT/LXH-EA24-065 F-285-488GGGS1R5.pdf","5등급"),HYPERLINK("http://www.lxhausys.co.kr/popup/rn/download/downloadPopup.jsp?from=plwindow&amp;uu=/upload/window/REPORT/LXH-TW22-015 S-124-222FFGL1R68.pdf","등급외"))))))</f>
        <v>1등급</v>
      </c>
      <c r="M65" s="45">
        <v>0.754</v>
      </c>
      <c r="N65" s="45">
        <v>0.84</v>
      </c>
      <c r="O65" s="42" t="s">
        <v>19</v>
      </c>
      <c r="P65" s="42" t="s">
        <v>22</v>
      </c>
      <c r="Q65" s="42" t="s">
        <v>19</v>
      </c>
      <c r="R65" s="42" t="s">
        <v>19</v>
      </c>
      <c r="S65" s="42" t="s">
        <v>19</v>
      </c>
      <c r="T65" s="42" t="s">
        <v>19</v>
      </c>
      <c r="U65" s="42" t="s">
        <v>19</v>
      </c>
      <c r="V65" s="42" t="s">
        <v>19</v>
      </c>
      <c r="W65" s="42" t="s">
        <v>19</v>
      </c>
      <c r="X65" s="42" t="s">
        <v>75</v>
      </c>
    </row>
    <row r="66" spans="1:24">
      <c r="A66" s="42" t="s">
        <v>677</v>
      </c>
      <c r="B66" s="43" t="s">
        <v>844</v>
      </c>
      <c r="C66" s="42" t="s">
        <v>1141</v>
      </c>
      <c r="D66" s="42" t="s">
        <v>20</v>
      </c>
      <c r="E66" s="43" t="s">
        <v>733</v>
      </c>
      <c r="F66" s="44" t="s">
        <v>747</v>
      </c>
      <c r="G66" s="43"/>
      <c r="H66" s="43"/>
      <c r="I66" s="43"/>
      <c r="J66" s="42" t="s">
        <v>1410</v>
      </c>
      <c r="K66" s="43" t="str">
        <f>VLOOKUP(C66,'[1]뷰프레임 전체_상세'!$B:$E,4,0)</f>
        <v>F-285-488KGGG1R5</v>
      </c>
      <c r="L66" s="52" t="str">
        <f>IF(M66&lt;=0.9,HYPERLINK("http://www.lxhausys.co.kr/popup/rn/download/downloadPopup.jsp?from=plwindow&amp;uu=/upload/window/REPORT/LXH-EA24-066 F-285-488KGGG1R5.pdf","1등급"),IF(M66&lt;=1.2,HYPERLINK("http://www.lxhausys.co.kr/popup/rn/download/downloadPopup.jsp?from=plwindow&amp;uu=/upload/window/REPORT/LXH-EA24-066 F-285-488KGGG1R5.pdf","2등급"),IF(M66&lt;=1.8,HYPERLINK("http://www.lxhausys.co.kr/popup/rn/download/downloadPopup.jsp?from=plwindow&amp;uu=/upload/window/REPORT/LXH-EA24-066 F-285-488KGGG1R5.pdf","3등급"),IF(M66&lt;=2.3,HYPERLINK("http://www.lxhausys.co.kr/popup/rn/download/downloadPopup.jsp?from=plwindow&amp;uu=/upload/window/REPORT/LXH-EA24-066 F-285-488KGGG1R5.pdf","4등급"),IF(M66&lt;=2.8,HYPERLINK("http://www.lxhausys.co.kr/popup/rn/download/downloadPopup.jsp?from=plwindow&amp;uu=/upload/window/REPORT/LXH-EA24-066 F-285-488KGGG1R5.pdf","5등급"),HYPERLINK("http://www.lxhausys.co.kr/popup/rn/download/downloadPopup.jsp?from=plwindow&amp;uu=/upload/window/REPORT/LXH-TW22-015 S-124-222FFGL1R69.pdf","등급외"))))))</f>
        <v>1등급</v>
      </c>
      <c r="M66" s="45">
        <v>0.80400000000000005</v>
      </c>
      <c r="N66" s="45">
        <v>0.87</v>
      </c>
      <c r="O66" s="42" t="s">
        <v>19</v>
      </c>
      <c r="P66" s="42" t="s">
        <v>22</v>
      </c>
      <c r="Q66" s="42" t="s">
        <v>19</v>
      </c>
      <c r="R66" s="42" t="s">
        <v>19</v>
      </c>
      <c r="S66" s="42" t="s">
        <v>19</v>
      </c>
      <c r="T66" s="42" t="s">
        <v>19</v>
      </c>
      <c r="U66" s="42" t="s">
        <v>19</v>
      </c>
      <c r="V66" s="42" t="s">
        <v>19</v>
      </c>
      <c r="W66" s="42" t="s">
        <v>19</v>
      </c>
      <c r="X66" s="42" t="s">
        <v>75</v>
      </c>
    </row>
    <row r="67" spans="1:24">
      <c r="A67" s="42" t="s">
        <v>680</v>
      </c>
      <c r="B67" s="43" t="s">
        <v>845</v>
      </c>
      <c r="C67" s="42" t="s">
        <v>1142</v>
      </c>
      <c r="D67" s="42" t="s">
        <v>20</v>
      </c>
      <c r="E67" s="43" t="s">
        <v>1071</v>
      </c>
      <c r="F67" s="44"/>
      <c r="G67" s="43"/>
      <c r="H67" s="43"/>
      <c r="I67" s="43"/>
      <c r="J67" s="42" t="s">
        <v>1410</v>
      </c>
      <c r="K67" s="43" t="str">
        <f>VLOOKUP(C67,'[1]뷰프레임 전체_상세'!$B:$E,4,0)</f>
        <v>F-230WS-226FFGS1R5</v>
      </c>
      <c r="L67" s="52" t="str">
        <f>IF(M67&lt;=0.9,HYPERLINK("http://www.lxhausys.co.kr/popup/rn/download/downloadPopup.jsp?from=plwindow&amp;uu=/upload/window/REPORT/LXH-EA24-067 F-230WS-226FFGS1R5.pdf","1등급"),IF(M67&lt;=1.2,HYPERLINK("http://www.lxhausys.co.kr/popup/rn/download/downloadPopup.jsp?from=plwindow&amp;uu=/upload/window/REPORT/LXH-EA24-067 F-230WS-226FFGS1R5.pdf","2등급"),IF(M67&lt;=1.8,HYPERLINK("http://www.lxhausys.co.kr/popup/rn/download/downloadPopup.jsp?from=plwindow&amp;uu=/upload/window/REPORT/LXH-EA24-067 F-230WS-226FFGS1R5.pdf","3등급"),IF(M67&lt;=2.3,HYPERLINK("http://www.lxhausys.co.kr/popup/rn/download/downloadPopup.jsp?from=plwindow&amp;uu=/upload/window/REPORT/LXH-EA24-067 F-230WS-226FFGS1R5.pdf","4등급"),IF(M67&lt;=2.8,HYPERLINK("http://www.lxhausys.co.kr/popup/rn/download/downloadPopup.jsp?from=plwindow&amp;uu=/upload/window/REPORT/LXH-EA24-067 F-230WS-226FFGS1R5.pdf","5등급"),HYPERLINK("http://www.lxhausys.co.kr/popup/rn/download/downloadPopup.jsp?from=plwindow&amp;uu=/upload/window/REPORT/LXH-TW22-015 S-124-222FFGL1R70.pdf","등급외"))))))</f>
        <v>3등급</v>
      </c>
      <c r="M67" s="45">
        <v>1.6859999999999999</v>
      </c>
      <c r="N67" s="45">
        <v>1.63</v>
      </c>
      <c r="O67" s="42" t="s">
        <v>19</v>
      </c>
      <c r="P67" s="42" t="s">
        <v>103</v>
      </c>
      <c r="Q67" s="42" t="s">
        <v>19</v>
      </c>
      <c r="R67" s="42" t="s">
        <v>19</v>
      </c>
      <c r="S67" s="42" t="s">
        <v>19</v>
      </c>
      <c r="T67" s="42" t="s">
        <v>19</v>
      </c>
      <c r="U67" s="42" t="s">
        <v>19</v>
      </c>
      <c r="V67" s="42" t="s">
        <v>19</v>
      </c>
      <c r="W67" s="42" t="s">
        <v>19</v>
      </c>
      <c r="X67" s="42" t="s">
        <v>75</v>
      </c>
    </row>
    <row r="68" spans="1:24">
      <c r="A68" s="42" t="s">
        <v>680</v>
      </c>
      <c r="B68" s="43" t="s">
        <v>846</v>
      </c>
      <c r="C68" s="42" t="s">
        <v>1143</v>
      </c>
      <c r="D68" s="42" t="s">
        <v>20</v>
      </c>
      <c r="E68" s="43" t="s">
        <v>1074</v>
      </c>
      <c r="F68" s="44"/>
      <c r="G68" s="43"/>
      <c r="H68" s="43"/>
      <c r="I68" s="43"/>
      <c r="J68" s="42" t="s">
        <v>1410</v>
      </c>
      <c r="K68" s="43" t="str">
        <f>VLOOKUP(C68,'[1]뷰프레임 전체_상세'!$B:$E,4,0)</f>
        <v>F-230WS-224FFGS1A5</v>
      </c>
      <c r="L68" s="52" t="str">
        <f>IF(M68&lt;=0.9,HYPERLINK("http://www.lxhausys.co.kr/popup/rn/download/downloadPopup.jsp?from=plwindow&amp;uu=/upload/window/REPORT/LXH-EA24-068 F-230WS-224FFGS1A5.pdf","1등급"),IF(M68&lt;=1.2,HYPERLINK("http://www.lxhausys.co.kr/popup/rn/download/downloadPopup.jsp?from=plwindow&amp;uu=/upload/window/REPORT/LXH-EA24-068 F-230WS-224FFGS1A5.pdf","2등급"),IF(M68&lt;=1.8,HYPERLINK("http://www.lxhausys.co.kr/popup/rn/download/downloadPopup.jsp?from=plwindow&amp;uu=/upload/window/REPORT/LXH-EA24-068 F-230WS-224FFGS1A5.pdf","3등급"),IF(M68&lt;=2.3,HYPERLINK("http://www.lxhausys.co.kr/popup/rn/download/downloadPopup.jsp?from=plwindow&amp;uu=/upload/window/REPORT/LXH-EA24-068 F-230WS-224FFGS1A5.pdf","4등급"),IF(M68&lt;=2.8,HYPERLINK("http://www.lxhausys.co.kr/popup/rn/download/downloadPopup.jsp?from=plwindow&amp;uu=/upload/window/REPORT/LXH-EA24-068 F-230WS-224FFGS1A5.pdf","5등급"),HYPERLINK("http://www.lxhausys.co.kr/popup/rn/download/downloadPopup.jsp?from=plwindow&amp;uu=/upload/window/REPORT/LXH-TW22-015 S-124-222FFGL1R71.pdf","등급외"))))))</f>
        <v>4등급</v>
      </c>
      <c r="M68" s="45">
        <v>1.9339999999999999</v>
      </c>
      <c r="N68" s="45">
        <v>1.47</v>
      </c>
      <c r="O68" s="42" t="s">
        <v>19</v>
      </c>
      <c r="P68" s="42" t="s">
        <v>103</v>
      </c>
      <c r="Q68" s="42" t="s">
        <v>19</v>
      </c>
      <c r="R68" s="42" t="s">
        <v>19</v>
      </c>
      <c r="S68" s="42" t="s">
        <v>19</v>
      </c>
      <c r="T68" s="42" t="s">
        <v>19</v>
      </c>
      <c r="U68" s="42" t="s">
        <v>19</v>
      </c>
      <c r="V68" s="42" t="s">
        <v>19</v>
      </c>
      <c r="W68" s="42" t="s">
        <v>19</v>
      </c>
      <c r="X68" s="42" t="s">
        <v>75</v>
      </c>
    </row>
    <row r="69" spans="1:24">
      <c r="A69" s="42" t="s">
        <v>680</v>
      </c>
      <c r="B69" s="43" t="s">
        <v>847</v>
      </c>
      <c r="C69" s="42" t="s">
        <v>1144</v>
      </c>
      <c r="D69" s="42" t="s">
        <v>20</v>
      </c>
      <c r="E69" s="43" t="s">
        <v>1072</v>
      </c>
      <c r="F69" s="44"/>
      <c r="G69" s="43"/>
      <c r="H69" s="43"/>
      <c r="I69" s="43"/>
      <c r="J69" s="42" t="s">
        <v>1410</v>
      </c>
      <c r="K69" s="43" t="str">
        <f>VLOOKUP(C69,'[1]뷰프레임 전체_상세'!$B:$E,4,0)</f>
        <v>F-230WS-228FFGS1A5</v>
      </c>
      <c r="L69" s="52" t="str">
        <f>IF(M69&lt;=0.9,HYPERLINK("http://www.lxhausys.co.kr/popup/rn/download/downloadPopup.jsp?from=plwindow&amp;uu=/upload/window/REPORT/LXH-EA24-069 F-230WS-228FFGS1A5.pdf","1등급"),IF(M69&lt;=1.2,HYPERLINK("http://www.lxhausys.co.kr/popup/rn/download/downloadPopup.jsp?from=plwindow&amp;uu=/upload/window/REPORT/LXH-EA24-069 F-230WS-228FFGS1A5.pdf","2등급"),IF(M69&lt;=1.8,HYPERLINK("http://www.lxhausys.co.kr/popup/rn/download/downloadPopup.jsp?from=plwindow&amp;uu=/upload/window/REPORT/LXH-EA24-069 F-230WS-228FFGS1A5.pdf","3등급"),IF(M69&lt;=2.3,HYPERLINK("http://www.lxhausys.co.kr/popup/rn/download/downloadPopup.jsp?from=plwindow&amp;uu=/upload/window/REPORT/LXH-EA24-069 F-230WS-228FFGS1A5.pdf","4등급"),IF(M69&lt;=2.8,HYPERLINK("http://www.lxhausys.co.kr/popup/rn/download/downloadPopup.jsp?from=plwindow&amp;uu=/upload/window/REPORT/LXH-EA24-069 F-230WS-228FFGS1A5.pdf","5등급"),HYPERLINK("http://www.lxhausys.co.kr/popup/rn/download/downloadPopup.jsp?from=plwindow&amp;uu=/upload/window/REPORT/LXH-TW22-015 S-124-222FFGL1R72.pdf","등급외"))))))</f>
        <v>4등급</v>
      </c>
      <c r="M69" s="45">
        <v>1.869</v>
      </c>
      <c r="N69" s="45">
        <v>1.38</v>
      </c>
      <c r="O69" s="42" t="s">
        <v>19</v>
      </c>
      <c r="P69" s="42" t="s">
        <v>103</v>
      </c>
      <c r="Q69" s="42" t="s">
        <v>19</v>
      </c>
      <c r="R69" s="42" t="s">
        <v>19</v>
      </c>
      <c r="S69" s="42" t="s">
        <v>19</v>
      </c>
      <c r="T69" s="42" t="s">
        <v>19</v>
      </c>
      <c r="U69" s="42" t="s">
        <v>19</v>
      </c>
      <c r="V69" s="42" t="s">
        <v>19</v>
      </c>
      <c r="W69" s="42" t="s">
        <v>19</v>
      </c>
      <c r="X69" s="42" t="s">
        <v>75</v>
      </c>
    </row>
    <row r="70" spans="1:24">
      <c r="A70" s="42" t="s">
        <v>680</v>
      </c>
      <c r="B70" s="43" t="s">
        <v>848</v>
      </c>
      <c r="C70" s="42" t="s">
        <v>1145</v>
      </c>
      <c r="D70" s="42" t="s">
        <v>20</v>
      </c>
      <c r="E70" s="43" t="s">
        <v>726</v>
      </c>
      <c r="F70" s="44"/>
      <c r="G70" s="43"/>
      <c r="H70" s="43"/>
      <c r="I70" s="43"/>
      <c r="J70" s="42" t="s">
        <v>1410</v>
      </c>
      <c r="K70" s="43" t="str">
        <f>VLOOKUP(C70,'[1]뷰프레임 전체_상세'!$B:$E,4,0)</f>
        <v>F-230WS-228FFKG1A5</v>
      </c>
      <c r="L70" s="52" t="str">
        <f>IF(M70&lt;=0.9,HYPERLINK("http://www.lxhausys.co.kr/popup/rn/download/downloadPopup.jsp?from=plwindow&amp;uu=/upload/window/REPORT/LXH-EA24-070 F-230WS-228FFKG1A5.pdf","1등급"),IF(M70&lt;=1.2,HYPERLINK("http://www.lxhausys.co.kr/popup/rn/download/downloadPopup.jsp?from=plwindow&amp;uu=/upload/window/REPORT/LXH-EA24-070 F-230WS-228FFKG1A5.pdf","2등급"),IF(M70&lt;=1.8,HYPERLINK("http://www.lxhausys.co.kr/popup/rn/download/downloadPopup.jsp?from=plwindow&amp;uu=/upload/window/REPORT/LXH-EA24-070 F-230WS-228FFKG1A5.pdf","3등급"),IF(M70&lt;=2.3,HYPERLINK("http://www.lxhausys.co.kr/popup/rn/download/downloadPopup.jsp?from=plwindow&amp;uu=/upload/window/REPORT/LXH-EA24-070 F-230WS-228FFKG1A5.pdf","4등급"),IF(M70&lt;=2.8,HYPERLINK("http://www.lxhausys.co.kr/popup/rn/download/downloadPopup.jsp?from=plwindow&amp;uu=/upload/window/REPORT/LXH-EA24-070 F-230WS-228FFKG1A5.pdf","5등급"),HYPERLINK("http://www.lxhausys.co.kr/popup/rn/download/downloadPopup.jsp?from=plwindow&amp;uu=/upload/window/REPORT/LXH-TW22-015 S-124-222FFGL1R73.pdf","등급외"))))))</f>
        <v>3등급</v>
      </c>
      <c r="M70" s="45">
        <v>1.7789999999999999</v>
      </c>
      <c r="N70" s="45">
        <v>1.44</v>
      </c>
      <c r="O70" s="42" t="s">
        <v>19</v>
      </c>
      <c r="P70" s="42" t="s">
        <v>103</v>
      </c>
      <c r="Q70" s="42" t="s">
        <v>19</v>
      </c>
      <c r="R70" s="42" t="s">
        <v>19</v>
      </c>
      <c r="S70" s="42" t="s">
        <v>19</v>
      </c>
      <c r="T70" s="42" t="s">
        <v>19</v>
      </c>
      <c r="U70" s="42" t="s">
        <v>19</v>
      </c>
      <c r="V70" s="42" t="s">
        <v>19</v>
      </c>
      <c r="W70" s="42" t="s">
        <v>19</v>
      </c>
      <c r="X70" s="42" t="s">
        <v>75</v>
      </c>
    </row>
    <row r="71" spans="1:24">
      <c r="A71" s="42" t="s">
        <v>680</v>
      </c>
      <c r="B71" s="43" t="s">
        <v>849</v>
      </c>
      <c r="C71" s="42" t="s">
        <v>1146</v>
      </c>
      <c r="D71" s="42" t="s">
        <v>20</v>
      </c>
      <c r="E71" s="43" t="s">
        <v>722</v>
      </c>
      <c r="F71" s="44"/>
      <c r="G71" s="43"/>
      <c r="H71" s="43"/>
      <c r="I71" s="43"/>
      <c r="J71" s="42" t="s">
        <v>1410</v>
      </c>
      <c r="K71" s="43" t="str">
        <f>VLOOKUP(C71,'[1]뷰프레임 전체_상세'!$B:$E,4,0)</f>
        <v>F-230WS-224FFKG1A5</v>
      </c>
      <c r="L71" s="52" t="str">
        <f>IF(M71&lt;=0.9,HYPERLINK("http://www.lxhausys.co.kr/popup/rn/download/downloadPopup.jsp?from=plwindow&amp;uu=/upload/window/REPORT/LXH-EA24-071 F-230WS-224FFKG1A5.pdf","1등급"),IF(M71&lt;=1.2,HYPERLINK("http://www.lxhausys.co.kr/popup/rn/download/downloadPopup.jsp?from=plwindow&amp;uu=/upload/window/REPORT/LXH-EA24-071 F-230WS-224FFKG1A5.pdf","2등급"),IF(M71&lt;=1.8,HYPERLINK("http://www.lxhausys.co.kr/popup/rn/download/downloadPopup.jsp?from=plwindow&amp;uu=/upload/window/REPORT/LXH-EA24-071 F-230WS-224FFKG1A5.pdf","3등급"),IF(M71&lt;=2.3,HYPERLINK("http://www.lxhausys.co.kr/popup/rn/download/downloadPopup.jsp?from=plwindow&amp;uu=/upload/window/REPORT/LXH-EA24-071 F-230WS-224FFKG1A5.pdf","4등급"),IF(M71&lt;=2.8,HYPERLINK("http://www.lxhausys.co.kr/popup/rn/download/downloadPopup.jsp?from=plwindow&amp;uu=/upload/window/REPORT/LXH-EA24-071 F-230WS-224FFKG1A5.pdf","5등급"),HYPERLINK("http://www.lxhausys.co.kr/popup/rn/download/downloadPopup.jsp?from=plwindow&amp;uu=/upload/window/REPORT/LXH-TW22-015 S-124-222FFGL1R74.pdf","등급외"))))))</f>
        <v>4등급</v>
      </c>
      <c r="M71" s="45">
        <v>1.8480000000000001</v>
      </c>
      <c r="N71" s="45">
        <v>1.42</v>
      </c>
      <c r="O71" s="42" t="s">
        <v>19</v>
      </c>
      <c r="P71" s="42" t="s">
        <v>103</v>
      </c>
      <c r="Q71" s="42" t="s">
        <v>19</v>
      </c>
      <c r="R71" s="42" t="s">
        <v>19</v>
      </c>
      <c r="S71" s="42" t="s">
        <v>19</v>
      </c>
      <c r="T71" s="42" t="s">
        <v>19</v>
      </c>
      <c r="U71" s="42" t="s">
        <v>19</v>
      </c>
      <c r="V71" s="42" t="s">
        <v>19</v>
      </c>
      <c r="W71" s="42" t="s">
        <v>19</v>
      </c>
      <c r="X71" s="42" t="s">
        <v>75</v>
      </c>
    </row>
    <row r="72" spans="1:24">
      <c r="A72" s="42" t="s">
        <v>680</v>
      </c>
      <c r="B72" s="43" t="s">
        <v>850</v>
      </c>
      <c r="C72" s="42" t="s">
        <v>1147</v>
      </c>
      <c r="D72" s="42" t="s">
        <v>20</v>
      </c>
      <c r="E72" s="43" t="s">
        <v>716</v>
      </c>
      <c r="F72" s="44"/>
      <c r="G72" s="43"/>
      <c r="H72" s="43"/>
      <c r="I72" s="43"/>
      <c r="J72" s="42" t="s">
        <v>1410</v>
      </c>
      <c r="K72" s="43" t="str">
        <f>VLOOKUP(C72,'[1]뷰프레임 전체_상세'!$B:$E,4,0)</f>
        <v>F-230WS-224FFKG1R5</v>
      </c>
      <c r="L72" s="52" t="str">
        <f>IF(M72&lt;=0.9,HYPERLINK("http://www.lxhausys.co.kr/popup/rn/download/downloadPopup.jsp?from=plwindow&amp;uu=/upload/window/REPORT/LXH-EA24-072 F-230WS-224FFKG1R5.pdf","1등급"),IF(M72&lt;=1.2,HYPERLINK("http://www.lxhausys.co.kr/popup/rn/download/downloadPopup.jsp?from=plwindow&amp;uu=/upload/window/REPORT/LXH-EA24-072 F-230WS-224FFKG1R5.pdf","2등급"),IF(M72&lt;=1.8,HYPERLINK("http://www.lxhausys.co.kr/popup/rn/download/downloadPopup.jsp?from=plwindow&amp;uu=/upload/window/REPORT/LXH-EA24-072 F-230WS-224FFKG1R5.pdf","3등급"),IF(M72&lt;=2.3,HYPERLINK("http://www.lxhausys.co.kr/popup/rn/download/downloadPopup.jsp?from=plwindow&amp;uu=/upload/window/REPORT/LXH-EA24-072 F-230WS-224FFKG1R5.pdf","4등급"),IF(M72&lt;=2.8,HYPERLINK("http://www.lxhausys.co.kr/popup/rn/download/downloadPopup.jsp?from=plwindow&amp;uu=/upload/window/REPORT/LXH-EA24-072 F-230WS-224FFKG1R5.pdf","5등급"),HYPERLINK("http://www.lxhausys.co.kr/popup/rn/download/downloadPopup.jsp?from=plwindow&amp;uu=/upload/window/REPORT/LXH-TW22-015 S-124-222FFGL1R75.pdf","등급외"))))))</f>
        <v>3등급</v>
      </c>
      <c r="M72" s="45">
        <v>1.585</v>
      </c>
      <c r="N72" s="45">
        <v>1.33</v>
      </c>
      <c r="O72" s="42" t="s">
        <v>19</v>
      </c>
      <c r="P72" s="42" t="s">
        <v>103</v>
      </c>
      <c r="Q72" s="42" t="s">
        <v>19</v>
      </c>
      <c r="R72" s="42" t="s">
        <v>19</v>
      </c>
      <c r="S72" s="42" t="s">
        <v>19</v>
      </c>
      <c r="T72" s="42" t="s">
        <v>19</v>
      </c>
      <c r="U72" s="42" t="s">
        <v>19</v>
      </c>
      <c r="V72" s="42" t="s">
        <v>19</v>
      </c>
      <c r="W72" s="42" t="s">
        <v>19</v>
      </c>
      <c r="X72" s="42" t="s">
        <v>75</v>
      </c>
    </row>
    <row r="73" spans="1:24">
      <c r="A73" s="42" t="s">
        <v>680</v>
      </c>
      <c r="B73" s="43" t="s">
        <v>851</v>
      </c>
      <c r="C73" s="42" t="s">
        <v>1148</v>
      </c>
      <c r="D73" s="42" t="s">
        <v>20</v>
      </c>
      <c r="E73" s="43" t="s">
        <v>1073</v>
      </c>
      <c r="F73" s="44"/>
      <c r="G73" s="43"/>
      <c r="H73" s="43"/>
      <c r="I73" s="43"/>
      <c r="J73" s="42" t="s">
        <v>1410</v>
      </c>
      <c r="K73" s="43" t="str">
        <f>VLOOKUP(C73,'[1]뷰프레임 전체_상세'!$B:$E,4,0)</f>
        <v>F-230WS-224FFGS1R5</v>
      </c>
      <c r="L73" s="52" t="str">
        <f>IF(M73&lt;=0.9,HYPERLINK("http://www.lxhausys.co.kr/popup/rn/download/downloadPopup.jsp?from=plwindow&amp;uu=/upload/window/REPORT/LXH-EA24-073 F-230WS-224FFGS1R5.pdf","1등급"),IF(M73&lt;=1.2,HYPERLINK("http://www.lxhausys.co.kr/popup/rn/download/downloadPopup.jsp?from=plwindow&amp;uu=/upload/window/REPORT/LXH-EA24-073 F-230WS-224FFGS1R5.pdf","2등급"),IF(M73&lt;=1.8,HYPERLINK("http://www.lxhausys.co.kr/popup/rn/download/downloadPopup.jsp?from=plwindow&amp;uu=/upload/window/REPORT/LXH-EA24-073 F-230WS-224FFGS1R5.pdf","3등급"),IF(M73&lt;=2.3,HYPERLINK("http://www.lxhausys.co.kr/popup/rn/download/downloadPopup.jsp?from=plwindow&amp;uu=/upload/window/REPORT/LXH-EA24-073 F-230WS-224FFGS1R5.pdf","4등급"),IF(M73&lt;=2.8,HYPERLINK("http://www.lxhausys.co.kr/popup/rn/download/downloadPopup.jsp?from=plwindow&amp;uu=/upload/window/REPORT/LXH-EA24-073 F-230WS-224FFGS1R5.pdf","5등급"),HYPERLINK("http://www.lxhausys.co.kr/popup/rn/download/downloadPopup.jsp?from=plwindow&amp;uu=/upload/window/REPORT/LXH-TW22-015 S-124-222FFGL1R76.pdf","등급외"))))))</f>
        <v>3등급</v>
      </c>
      <c r="M73" s="45">
        <v>1.6950000000000001</v>
      </c>
      <c r="N73" s="45">
        <v>1.46</v>
      </c>
      <c r="O73" s="42" t="s">
        <v>19</v>
      </c>
      <c r="P73" s="42" t="s">
        <v>103</v>
      </c>
      <c r="Q73" s="42" t="s">
        <v>19</v>
      </c>
      <c r="R73" s="42" t="s">
        <v>19</v>
      </c>
      <c r="S73" s="42" t="s">
        <v>19</v>
      </c>
      <c r="T73" s="42" t="s">
        <v>19</v>
      </c>
      <c r="U73" s="42" t="s">
        <v>19</v>
      </c>
      <c r="V73" s="42" t="s">
        <v>19</v>
      </c>
      <c r="W73" s="42" t="s">
        <v>19</v>
      </c>
      <c r="X73" s="42" t="s">
        <v>75</v>
      </c>
    </row>
    <row r="74" spans="1:24">
      <c r="A74" s="42" t="s">
        <v>680</v>
      </c>
      <c r="B74" s="43" t="s">
        <v>852</v>
      </c>
      <c r="C74" s="42" t="s">
        <v>1149</v>
      </c>
      <c r="D74" s="42" t="s">
        <v>20</v>
      </c>
      <c r="E74" s="43" t="s">
        <v>1075</v>
      </c>
      <c r="F74" s="44"/>
      <c r="G74" s="43"/>
      <c r="H74" s="43"/>
      <c r="I74" s="43"/>
      <c r="J74" s="42" t="s">
        <v>1410</v>
      </c>
      <c r="K74" s="43" t="str">
        <f>VLOOKUP(C74,'[1]뷰프레임 전체_상세'!$B:$E,4,0)</f>
        <v>F-230WS-228FFGS1R5</v>
      </c>
      <c r="L74" s="52" t="str">
        <f>IF(M74&lt;=0.9,HYPERLINK("http://www.lxhausys.co.kr/popup/rn/download/downloadPopup.jsp?from=plwindow&amp;uu=/upload/window/REPORT/LXH-EA24-074 F-230WS-228FFGS1R5.pdf","1등급"),IF(M74&lt;=1.2,HYPERLINK("http://www.lxhausys.co.kr/popup/rn/download/downloadPopup.jsp?from=plwindow&amp;uu=/upload/window/REPORT/LXH-EA24-074 F-230WS-228FFGS1R5.pdf","2등급"),IF(M74&lt;=1.8,HYPERLINK("http://www.lxhausys.co.kr/popup/rn/download/downloadPopup.jsp?from=plwindow&amp;uu=/upload/window/REPORT/LXH-EA24-074 F-230WS-228FFGS1R5.pdf","3등급"),IF(M74&lt;=2.3,HYPERLINK("http://www.lxhausys.co.kr/popup/rn/download/downloadPopup.jsp?from=plwindow&amp;uu=/upload/window/REPORT/LXH-EA24-074 F-230WS-228FFGS1R5.pdf","4등급"),IF(M74&lt;=2.8,HYPERLINK("http://www.lxhausys.co.kr/popup/rn/download/downloadPopup.jsp?from=plwindow&amp;uu=/upload/window/REPORT/LXH-EA24-074 F-230WS-228FFGS1R5.pdf","5등급"),HYPERLINK("http://www.lxhausys.co.kr/popup/rn/download/downloadPopup.jsp?from=plwindow&amp;uu=/upload/window/REPORT/LXH-TW22-015 S-124-222FFGL1R77.pdf","등급외"))))))</f>
        <v>3등급</v>
      </c>
      <c r="M74" s="45">
        <v>1.653</v>
      </c>
      <c r="N74" s="45">
        <v>1.48</v>
      </c>
      <c r="O74" s="42" t="s">
        <v>19</v>
      </c>
      <c r="P74" s="42" t="s">
        <v>103</v>
      </c>
      <c r="Q74" s="42" t="s">
        <v>19</v>
      </c>
      <c r="R74" s="42" t="s">
        <v>19</v>
      </c>
      <c r="S74" s="42" t="s">
        <v>19</v>
      </c>
      <c r="T74" s="42" t="s">
        <v>19</v>
      </c>
      <c r="U74" s="42" t="s">
        <v>19</v>
      </c>
      <c r="V74" s="42" t="s">
        <v>19</v>
      </c>
      <c r="W74" s="42" t="s">
        <v>19</v>
      </c>
      <c r="X74" s="42" t="s">
        <v>75</v>
      </c>
    </row>
    <row r="75" spans="1:24">
      <c r="A75" s="42" t="s">
        <v>677</v>
      </c>
      <c r="B75" s="43" t="s">
        <v>853</v>
      </c>
      <c r="C75" s="42" t="s">
        <v>1150</v>
      </c>
      <c r="D75" s="42" t="s">
        <v>20</v>
      </c>
      <c r="E75" s="43" t="s">
        <v>736</v>
      </c>
      <c r="F75" s="44" t="s">
        <v>749</v>
      </c>
      <c r="G75" s="43"/>
      <c r="H75" s="43"/>
      <c r="I75" s="43"/>
      <c r="J75" s="42" t="s">
        <v>1410</v>
      </c>
      <c r="K75" s="43" t="str">
        <f>VLOOKUP(C75,'[1]뷰프레임 전체_상세'!$B:$E,4,0)</f>
        <v>F-285-444KGGG2A5</v>
      </c>
      <c r="L75" s="52" t="str">
        <f>IF(M75&lt;=0.9,HYPERLINK("http://www.lxhausys.co.kr/popup/rn/download/downloadPopup.jsp?from=plwindow&amp;uu=/upload/window/REPORT/LXH-EA24-076 F-285-444KGGG2A5.pdf","1등급"),IF(M75&lt;=1.2,HYPERLINK("http://www.lxhausys.co.kr/popup/rn/download/downloadPopup.jsp?from=plwindow&amp;uu=/upload/window/REPORT/LXH-EA24-076 F-285-444KGGG2A5.pdf","2등급"),IF(M75&lt;=1.8,HYPERLINK("http://www.lxhausys.co.kr/popup/rn/download/downloadPopup.jsp?from=plwindow&amp;uu=/upload/window/REPORT/LXH-EA24-076 F-285-444KGGG2A5.pdf","3등급"),IF(M75&lt;=2.3,HYPERLINK("http://www.lxhausys.co.kr/popup/rn/download/downloadPopup.jsp?from=plwindow&amp;uu=/upload/window/REPORT/LXH-EA24-076 F-285-444KGGG2A5.pdf","4등급"),IF(M75&lt;=2.8,HYPERLINK("http://www.lxhausys.co.kr/popup/rn/download/downloadPopup.jsp?from=plwindow&amp;uu=/upload/window/REPORT/LXH-EA24-076 F-285-444KGGG2A5.pdf","5등급"),HYPERLINK("http://www.lxhausys.co.kr/popup/rn/download/downloadPopup.jsp?from=plwindow&amp;uu=/upload/window/REPORT/LXH-TW22-015 S-124-222FFGL1R78.pdf","등급외"))))))</f>
        <v>2등급</v>
      </c>
      <c r="M75" s="45">
        <v>0.91500000000000004</v>
      </c>
      <c r="N75" s="45">
        <v>0.83</v>
      </c>
      <c r="O75" s="42" t="s">
        <v>19</v>
      </c>
      <c r="P75" s="42" t="s">
        <v>22</v>
      </c>
      <c r="Q75" s="42" t="s">
        <v>19</v>
      </c>
      <c r="R75" s="42" t="s">
        <v>19</v>
      </c>
      <c r="S75" s="42" t="s">
        <v>19</v>
      </c>
      <c r="T75" s="42" t="s">
        <v>19</v>
      </c>
      <c r="U75" s="42" t="s">
        <v>19</v>
      </c>
      <c r="V75" s="42" t="s">
        <v>19</v>
      </c>
      <c r="W75" s="42" t="s">
        <v>19</v>
      </c>
      <c r="X75" s="42" t="s">
        <v>75</v>
      </c>
    </row>
    <row r="76" spans="1:24">
      <c r="A76" s="42" t="s">
        <v>676</v>
      </c>
      <c r="B76" s="43" t="s">
        <v>854</v>
      </c>
      <c r="C76" s="42" t="s">
        <v>1151</v>
      </c>
      <c r="D76" s="42" t="s">
        <v>20</v>
      </c>
      <c r="E76" s="43" t="s">
        <v>736</v>
      </c>
      <c r="F76" s="44" t="s">
        <v>749</v>
      </c>
      <c r="G76" s="43"/>
      <c r="H76" s="43"/>
      <c r="I76" s="43"/>
      <c r="J76" s="42" t="s">
        <v>1410</v>
      </c>
      <c r="K76" s="43" t="str">
        <f>VLOOKUP(C76,'[1]뷰프레임 전체_상세'!$B:$E,4,0)</f>
        <v>F-265-444KGGG2A5</v>
      </c>
      <c r="L76" s="52" t="str">
        <f>IF(M76&lt;=0.9,HYPERLINK("http://www.lxhausys.co.kr/popup/rn/download/downloadPopup.jsp?from=plwindow&amp;uu=/upload/window/REPORT/LXH-EA24-077 F-265-444KGGG2A5.pdf","1등급"),IF(M76&lt;=1.2,HYPERLINK("http://www.lxhausys.co.kr/popup/rn/download/downloadPopup.jsp?from=plwindow&amp;uu=/upload/window/REPORT/LXH-EA24-077 F-265-444KGGG2A5.pdf","2등급"),IF(M76&lt;=1.8,HYPERLINK("http://www.lxhausys.co.kr/popup/rn/download/downloadPopup.jsp?from=plwindow&amp;uu=/upload/window/REPORT/LXH-EA24-077 F-265-444KGGG2A5.pdf","3등급"),IF(M76&lt;=2.3,HYPERLINK("http://www.lxhausys.co.kr/popup/rn/download/downloadPopup.jsp?from=plwindow&amp;uu=/upload/window/REPORT/LXH-EA24-077 F-265-444KGGG2A5.pdf","4등급"),IF(M76&lt;=2.8,HYPERLINK("http://www.lxhausys.co.kr/popup/rn/download/downloadPopup.jsp?from=plwindow&amp;uu=/upload/window/REPORT/LXH-EA24-077 F-265-444KGGG2A5.pdf","5등급"),HYPERLINK("http://www.lxhausys.co.kr/popup/rn/download/downloadPopup.jsp?from=plwindow&amp;uu=/upload/window/REPORT/LXH-TW22-015 S-124-222FFGL1R79.pdf","등급외"))))))</f>
        <v>2등급</v>
      </c>
      <c r="M76" s="45">
        <v>0.92200000000000004</v>
      </c>
      <c r="N76" s="45">
        <v>0.86</v>
      </c>
      <c r="O76" s="42" t="s">
        <v>19</v>
      </c>
      <c r="P76" s="42" t="s">
        <v>22</v>
      </c>
      <c r="Q76" s="42" t="s">
        <v>19</v>
      </c>
      <c r="R76" s="42" t="s">
        <v>19</v>
      </c>
      <c r="S76" s="42" t="s">
        <v>19</v>
      </c>
      <c r="T76" s="42" t="s">
        <v>19</v>
      </c>
      <c r="U76" s="42" t="s">
        <v>19</v>
      </c>
      <c r="V76" s="42" t="s">
        <v>19</v>
      </c>
      <c r="W76" s="42" t="s">
        <v>19</v>
      </c>
      <c r="X76" s="42" t="s">
        <v>75</v>
      </c>
    </row>
    <row r="77" spans="1:24">
      <c r="A77" s="42" t="s">
        <v>677</v>
      </c>
      <c r="B77" s="43" t="s">
        <v>855</v>
      </c>
      <c r="C77" s="42" t="s">
        <v>1152</v>
      </c>
      <c r="D77" s="42" t="s">
        <v>20</v>
      </c>
      <c r="E77" s="43" t="s">
        <v>737</v>
      </c>
      <c r="F77" s="44" t="s">
        <v>750</v>
      </c>
      <c r="G77" s="43"/>
      <c r="H77" s="43"/>
      <c r="I77" s="43"/>
      <c r="J77" s="42" t="s">
        <v>1410</v>
      </c>
      <c r="K77" s="43" t="str">
        <f>VLOOKUP(C77,'[1]뷰프레임 전체_상세'!$B:$E,4,0)</f>
        <v>F-285-444KGGS2R5</v>
      </c>
      <c r="L77" s="52" t="str">
        <f>IF(M77&lt;=0.9,HYPERLINK("http://www.lxhausys.co.kr/popup/rn/download/downloadPopup.jsp?from=plwindow&amp;uu=/upload/window/REPORT/LXH-EA24-078 F-285-444KGGS2R5.pdf","1등급"),IF(M77&lt;=1.2,HYPERLINK("http://www.lxhausys.co.kr/popup/rn/download/downloadPopup.jsp?from=plwindow&amp;uu=/upload/window/REPORT/LXH-EA24-078 F-285-444KGGS2R5.pdf","2등급"),IF(M77&lt;=1.8,HYPERLINK("http://www.lxhausys.co.kr/popup/rn/download/downloadPopup.jsp?from=plwindow&amp;uu=/upload/window/REPORT/LXH-EA24-078 F-285-444KGGS2R5.pdf","3등급"),IF(M77&lt;=2.3,HYPERLINK("http://www.lxhausys.co.kr/popup/rn/download/downloadPopup.jsp?from=plwindow&amp;uu=/upload/window/REPORT/LXH-EA24-078 F-285-444KGGS2R5.pdf","4등급"),IF(M77&lt;=2.8,HYPERLINK("http://www.lxhausys.co.kr/popup/rn/download/downloadPopup.jsp?from=plwindow&amp;uu=/upload/window/REPORT/LXH-EA24-078 F-285-444KGGS2R5.pdf","5등급"),HYPERLINK("http://www.lxhausys.co.kr/popup/rn/download/downloadPopup.jsp?from=plwindow&amp;uu=/upload/window/REPORT/LXH-TW22-015 S-124-222FFGL1R80.pdf","등급외"))))))</f>
        <v>1등급</v>
      </c>
      <c r="M77" s="45">
        <v>0.57999999999999996</v>
      </c>
      <c r="N77" s="45">
        <v>0.83</v>
      </c>
      <c r="O77" s="42" t="s">
        <v>19</v>
      </c>
      <c r="P77" s="42" t="s">
        <v>22</v>
      </c>
      <c r="Q77" s="42" t="s">
        <v>19</v>
      </c>
      <c r="R77" s="42" t="s">
        <v>19</v>
      </c>
      <c r="S77" s="42" t="s">
        <v>19</v>
      </c>
      <c r="T77" s="42" t="s">
        <v>19</v>
      </c>
      <c r="U77" s="42" t="s">
        <v>19</v>
      </c>
      <c r="V77" s="42" t="s">
        <v>19</v>
      </c>
      <c r="W77" s="42" t="s">
        <v>19</v>
      </c>
      <c r="X77" s="42" t="s">
        <v>75</v>
      </c>
    </row>
    <row r="78" spans="1:24">
      <c r="A78" s="42" t="s">
        <v>676</v>
      </c>
      <c r="B78" s="43" t="s">
        <v>856</v>
      </c>
      <c r="C78" s="42" t="s">
        <v>1153</v>
      </c>
      <c r="D78" s="42" t="s">
        <v>20</v>
      </c>
      <c r="E78" s="43" t="s">
        <v>737</v>
      </c>
      <c r="F78" s="44" t="s">
        <v>749</v>
      </c>
      <c r="G78" s="43"/>
      <c r="H78" s="43"/>
      <c r="I78" s="43"/>
      <c r="J78" s="42" t="s">
        <v>1410</v>
      </c>
      <c r="K78" s="43" t="str">
        <f>VLOOKUP(C78,'[1]뷰프레임 전체_상세'!$B:$E,4,0)</f>
        <v>F-265-444KGGG1R5</v>
      </c>
      <c r="L78" s="52" t="str">
        <f>IF(M78&lt;=0.9,HYPERLINK("http://www.lxhausys.co.kr/popup/rn/download/downloadPopup.jsp?from=plwindow&amp;uu=/upload/window/REPORT/LXH-EA24-079 F-265-444KGGG1R5.pdf","1등급"),IF(M78&lt;=1.2,HYPERLINK("http://www.lxhausys.co.kr/popup/rn/download/downloadPopup.jsp?from=plwindow&amp;uu=/upload/window/REPORT/LXH-EA24-079 F-265-444KGGG1R5.pdf","2등급"),IF(M78&lt;=1.8,HYPERLINK("http://www.lxhausys.co.kr/popup/rn/download/downloadPopup.jsp?from=plwindow&amp;uu=/upload/window/REPORT/LXH-EA24-079 F-265-444KGGG1R5.pdf","3등급"),IF(M78&lt;=2.3,HYPERLINK("http://www.lxhausys.co.kr/popup/rn/download/downloadPopup.jsp?from=plwindow&amp;uu=/upload/window/REPORT/LXH-EA24-079 F-265-444KGGG1R5.pdf","4등급"),IF(M78&lt;=2.8,HYPERLINK("http://www.lxhausys.co.kr/popup/rn/download/downloadPopup.jsp?from=plwindow&amp;uu=/upload/window/REPORT/LXH-EA24-079 F-265-444KGGG1R5.pdf","5등급"),HYPERLINK("http://www.lxhausys.co.kr/popup/rn/download/downloadPopup.jsp?from=plwindow&amp;uu=/upload/window/REPORT/LXH-TW22-015 S-124-222FFGL1R81.pdf","등급외"))))))</f>
        <v>1등급</v>
      </c>
      <c r="M78" s="45">
        <v>0.81599999999999995</v>
      </c>
      <c r="N78" s="45">
        <v>0.87</v>
      </c>
      <c r="O78" s="42" t="s">
        <v>19</v>
      </c>
      <c r="P78" s="42" t="s">
        <v>22</v>
      </c>
      <c r="Q78" s="42" t="s">
        <v>19</v>
      </c>
      <c r="R78" s="42" t="s">
        <v>19</v>
      </c>
      <c r="S78" s="42" t="s">
        <v>19</v>
      </c>
      <c r="T78" s="42" t="s">
        <v>19</v>
      </c>
      <c r="U78" s="42" t="s">
        <v>19</v>
      </c>
      <c r="V78" s="42" t="s">
        <v>19</v>
      </c>
      <c r="W78" s="42" t="s">
        <v>19</v>
      </c>
      <c r="X78" s="42" t="s">
        <v>75</v>
      </c>
    </row>
    <row r="79" spans="1:24">
      <c r="A79" s="42" t="s">
        <v>676</v>
      </c>
      <c r="B79" s="43" t="s">
        <v>857</v>
      </c>
      <c r="C79" s="42" t="s">
        <v>1154</v>
      </c>
      <c r="D79" s="42" t="s">
        <v>20</v>
      </c>
      <c r="E79" s="43" t="s">
        <v>737</v>
      </c>
      <c r="F79" s="44" t="s">
        <v>750</v>
      </c>
      <c r="G79" s="43"/>
      <c r="H79" s="43"/>
      <c r="I79" s="43"/>
      <c r="J79" s="42" t="s">
        <v>1410</v>
      </c>
      <c r="K79" s="43" t="str">
        <f>VLOOKUP(C79,'[1]뷰프레임 전체_상세'!$B:$E,4,0)</f>
        <v>F-265-444KGGS2R5</v>
      </c>
      <c r="L79" s="52" t="str">
        <f>IF(M79&lt;=0.9,HYPERLINK("http://www.lxhausys.co.kr/popup/rn/download/downloadPopup.jsp?from=plwindow&amp;uu=/upload/window/REPORT/LXH-EA24-080 F-265-444KGGS2R5.pdf","1등급"),IF(M79&lt;=1.2,HYPERLINK("http://www.lxhausys.co.kr/popup/rn/download/downloadPopup.jsp?from=plwindow&amp;uu=/upload/window/REPORT/LXH-EA24-080 F-265-444KGGS2R5.pdf","2등급"),IF(M79&lt;=1.8,HYPERLINK("http://www.lxhausys.co.kr/popup/rn/download/downloadPopup.jsp?from=plwindow&amp;uu=/upload/window/REPORT/LXH-EA24-080 F-265-444KGGS2R5.pdf","3등급"),IF(M79&lt;=2.3,HYPERLINK("http://www.lxhausys.co.kr/popup/rn/download/downloadPopup.jsp?from=plwindow&amp;uu=/upload/window/REPORT/LXH-EA24-080 F-265-444KGGS2R5.pdf","4등급"),IF(M79&lt;=2.8,HYPERLINK("http://www.lxhausys.co.kr/popup/rn/download/downloadPopup.jsp?from=plwindow&amp;uu=/upload/window/REPORT/LXH-EA24-080 F-265-444KGGS2R5.pdf","5등급"),HYPERLINK("http://www.lxhausys.co.kr/popup/rn/download/downloadPopup.jsp?from=plwindow&amp;uu=/upload/window/REPORT/LXH-TW22-015 S-124-222FFGL1R82.pdf","등급외"))))))</f>
        <v>1등급</v>
      </c>
      <c r="M79" s="45">
        <v>0.58199999999999996</v>
      </c>
      <c r="N79" s="45">
        <v>0.86</v>
      </c>
      <c r="O79" s="42" t="s">
        <v>19</v>
      </c>
      <c r="P79" s="42" t="s">
        <v>22</v>
      </c>
      <c r="Q79" s="42" t="s">
        <v>19</v>
      </c>
      <c r="R79" s="42" t="s">
        <v>19</v>
      </c>
      <c r="S79" s="42" t="s">
        <v>19</v>
      </c>
      <c r="T79" s="42" t="s">
        <v>19</v>
      </c>
      <c r="U79" s="42" t="s">
        <v>19</v>
      </c>
      <c r="V79" s="42" t="s">
        <v>19</v>
      </c>
      <c r="W79" s="42" t="s">
        <v>19</v>
      </c>
      <c r="X79" s="42" t="s">
        <v>75</v>
      </c>
    </row>
    <row r="80" spans="1:24">
      <c r="A80" s="42" t="s">
        <v>677</v>
      </c>
      <c r="B80" s="43" t="s">
        <v>858</v>
      </c>
      <c r="C80" s="42" t="s">
        <v>1155</v>
      </c>
      <c r="D80" s="42" t="s">
        <v>20</v>
      </c>
      <c r="E80" s="43" t="s">
        <v>737</v>
      </c>
      <c r="F80" s="44" t="s">
        <v>749</v>
      </c>
      <c r="G80" s="43"/>
      <c r="H80" s="43"/>
      <c r="I80" s="43"/>
      <c r="J80" s="42" t="s">
        <v>1410</v>
      </c>
      <c r="K80" s="43" t="str">
        <f>VLOOKUP(C80,'[1]뷰프레임 전체_상세'!$B:$E,4,0)</f>
        <v>F-285-444KGGG1R5</v>
      </c>
      <c r="L80" s="52" t="str">
        <f>IF(M80&lt;=0.9,HYPERLINK("http://www.lxhausys.co.kr/popup/rn/download/downloadPopup.jsp?from=plwindow&amp;uu=/upload/window/REPORT/LXH-EA24-081 F-285-444KGGG1R5.pdf","1등급"),IF(M80&lt;=1.2,HYPERLINK("http://www.lxhausys.co.kr/popup/rn/download/downloadPopup.jsp?from=plwindow&amp;uu=/upload/window/REPORT/LXH-EA24-081 F-285-444KGGG1R5.pdf","2등급"),IF(M80&lt;=1.8,HYPERLINK("http://www.lxhausys.co.kr/popup/rn/download/downloadPopup.jsp?from=plwindow&amp;uu=/upload/window/REPORT/LXH-EA24-081 F-285-444KGGG1R5.pdf","3등급"),IF(M80&lt;=2.3,HYPERLINK("http://www.lxhausys.co.kr/popup/rn/download/downloadPopup.jsp?from=plwindow&amp;uu=/upload/window/REPORT/LXH-EA24-081 F-285-444KGGG1R5.pdf","4등급"),IF(M80&lt;=2.8,HYPERLINK("http://www.lxhausys.co.kr/popup/rn/download/downloadPopup.jsp?from=plwindow&amp;uu=/upload/window/REPORT/LXH-EA24-081 F-285-444KGGG1R5.pdf","5등급"),HYPERLINK("http://www.lxhausys.co.kr/popup/rn/download/downloadPopup.jsp?from=plwindow&amp;uu=/upload/window/REPORT/LXH-TW22-015 S-124-222FFGL1R83.pdf","등급외"))))))</f>
        <v>1등급</v>
      </c>
      <c r="M80" s="45">
        <v>0.81399999999999995</v>
      </c>
      <c r="N80" s="45">
        <v>0.85</v>
      </c>
      <c r="O80" s="42" t="s">
        <v>19</v>
      </c>
      <c r="P80" s="42" t="s">
        <v>22</v>
      </c>
      <c r="Q80" s="42" t="s">
        <v>19</v>
      </c>
      <c r="R80" s="42" t="s">
        <v>19</v>
      </c>
      <c r="S80" s="42" t="s">
        <v>19</v>
      </c>
      <c r="T80" s="42" t="s">
        <v>19</v>
      </c>
      <c r="U80" s="42" t="s">
        <v>19</v>
      </c>
      <c r="V80" s="42" t="s">
        <v>19</v>
      </c>
      <c r="W80" s="42" t="s">
        <v>19</v>
      </c>
      <c r="X80" s="42" t="s">
        <v>75</v>
      </c>
    </row>
    <row r="81" spans="1:24">
      <c r="A81" s="42" t="s">
        <v>679</v>
      </c>
      <c r="B81" s="43" t="s">
        <v>859</v>
      </c>
      <c r="C81" s="42" t="s">
        <v>1156</v>
      </c>
      <c r="D81" s="42" t="s">
        <v>20</v>
      </c>
      <c r="E81" s="43" t="s">
        <v>737</v>
      </c>
      <c r="F81" s="44" t="s">
        <v>750</v>
      </c>
      <c r="G81" s="43"/>
      <c r="H81" s="43"/>
      <c r="I81" s="43"/>
      <c r="J81" s="42" t="s">
        <v>1410</v>
      </c>
      <c r="K81" s="43" t="str">
        <f>VLOOKUP(C81,'[1]뷰프레임 전체_상세'!$B:$E,4,0)</f>
        <v>F-250S-444KGGS2R5</v>
      </c>
      <c r="L81" s="52" t="str">
        <f>IF(M81&lt;=0.9,HYPERLINK("http://www.lxhausys.co.kr/popup/rn/download/downloadPopup.jsp?from=plwindow&amp;uu=/upload/window/REPORT/LXH-EA24-084 F-250S-444KGGS2R5.pdf","1등급"),IF(M81&lt;=1.2,HYPERLINK("http://www.lxhausys.co.kr/popup/rn/download/downloadPopup.jsp?from=plwindow&amp;uu=/upload/window/REPORT/LXH-EA24-084 F-250S-444KGGS2R5.pdf","2등급"),IF(M81&lt;=1.8,HYPERLINK("http://www.lxhausys.co.kr/popup/rn/download/downloadPopup.jsp?from=plwindow&amp;uu=/upload/window/REPORT/LXH-EA24-084 F-250S-444KGGS2R5.pdf","3등급"),IF(M81&lt;=2.3,HYPERLINK("http://www.lxhausys.co.kr/popup/rn/download/downloadPopup.jsp?from=plwindow&amp;uu=/upload/window/REPORT/LXH-EA24-084 F-250S-444KGGS2R5.pdf","4등급"),IF(M81&lt;=2.8,HYPERLINK("http://www.lxhausys.co.kr/popup/rn/download/downloadPopup.jsp?from=plwindow&amp;uu=/upload/window/REPORT/LXH-EA24-084 F-250S-444KGGS2R5.pdf","5등급"),HYPERLINK("http://www.lxhausys.co.kr/popup/rn/download/downloadPopup.jsp?from=plwindow&amp;uu=/upload/window/REPORT/LXH-TW22-015 S-124-222FFGL1R84.pdf","등급외"))))))</f>
        <v>1등급</v>
      </c>
      <c r="M81" s="45">
        <v>0.625</v>
      </c>
      <c r="N81" s="45">
        <v>0.78</v>
      </c>
      <c r="O81" s="42" t="s">
        <v>19</v>
      </c>
      <c r="P81" s="42" t="s">
        <v>22</v>
      </c>
      <c r="Q81" s="42" t="s">
        <v>19</v>
      </c>
      <c r="R81" s="42" t="s">
        <v>19</v>
      </c>
      <c r="S81" s="42" t="s">
        <v>19</v>
      </c>
      <c r="T81" s="42" t="s">
        <v>19</v>
      </c>
      <c r="U81" s="42" t="s">
        <v>19</v>
      </c>
      <c r="V81" s="42" t="s">
        <v>19</v>
      </c>
      <c r="W81" s="42" t="s">
        <v>19</v>
      </c>
      <c r="X81" s="42" t="s">
        <v>75</v>
      </c>
    </row>
    <row r="82" spans="1:24">
      <c r="A82" s="42" t="s">
        <v>679</v>
      </c>
      <c r="B82" s="43" t="s">
        <v>860</v>
      </c>
      <c r="C82" s="42" t="s">
        <v>1157</v>
      </c>
      <c r="D82" s="42" t="s">
        <v>20</v>
      </c>
      <c r="E82" s="43" t="s">
        <v>735</v>
      </c>
      <c r="F82" s="44" t="s">
        <v>748</v>
      </c>
      <c r="G82" s="43"/>
      <c r="H82" s="43"/>
      <c r="I82" s="43"/>
      <c r="J82" s="42" t="s">
        <v>1410</v>
      </c>
      <c r="K82" s="43" t="str">
        <f>VLOOKUP(C82,'[1]뷰프레임 전체_상세'!$B:$E,4,0)</f>
        <v>F-250S-488GGGS2A5</v>
      </c>
      <c r="L82" s="52" t="str">
        <f>IF(M82&lt;=0.9,HYPERLINK("http://www.lxhausys.co.kr/popup/rn/download/downloadPopup.jsp?from=plwindow&amp;uu=/upload/window/REPORT/LXH-EA24-085 F-250S-488GGGS2A5.pdf","1등급"),IF(M82&lt;=1.2,HYPERLINK("http://www.lxhausys.co.kr/popup/rn/download/downloadPopup.jsp?from=plwindow&amp;uu=/upload/window/REPORT/LXH-EA24-085 F-250S-488GGGS2A5.pdf","2등급"),IF(M82&lt;=1.8,HYPERLINK("http://www.lxhausys.co.kr/popup/rn/download/downloadPopup.jsp?from=plwindow&amp;uu=/upload/window/REPORT/LXH-EA24-085 F-250S-488GGGS2A5.pdf","3등급"),IF(M82&lt;=2.3,HYPERLINK("http://www.lxhausys.co.kr/popup/rn/download/downloadPopup.jsp?from=plwindow&amp;uu=/upload/window/REPORT/LXH-EA24-085 F-250S-488GGGS2A5.pdf","4등급"),IF(M82&lt;=2.8,HYPERLINK("http://www.lxhausys.co.kr/popup/rn/download/downloadPopup.jsp?from=plwindow&amp;uu=/upload/window/REPORT/LXH-EA24-085 F-250S-488GGGS2A5.pdf","5등급"),HYPERLINK("http://www.lxhausys.co.kr/popup/rn/download/downloadPopup.jsp?from=plwindow&amp;uu=/upload/window/REPORT/LXH-TW22-015 S-124-222FFGL1R85.pdf","등급외"))))))</f>
        <v>1등급</v>
      </c>
      <c r="M82" s="45">
        <v>0.86399999999999999</v>
      </c>
      <c r="N82" s="45">
        <v>0.79</v>
      </c>
      <c r="O82" s="42" t="s">
        <v>19</v>
      </c>
      <c r="P82" s="42" t="s">
        <v>22</v>
      </c>
      <c r="Q82" s="42" t="s">
        <v>19</v>
      </c>
      <c r="R82" s="42" t="s">
        <v>19</v>
      </c>
      <c r="S82" s="42" t="s">
        <v>19</v>
      </c>
      <c r="T82" s="42" t="s">
        <v>19</v>
      </c>
      <c r="U82" s="42" t="s">
        <v>19</v>
      </c>
      <c r="V82" s="42" t="s">
        <v>19</v>
      </c>
      <c r="W82" s="42" t="s">
        <v>19</v>
      </c>
      <c r="X82" s="42" t="s">
        <v>75</v>
      </c>
    </row>
    <row r="83" spans="1:24">
      <c r="A83" s="42" t="s">
        <v>679</v>
      </c>
      <c r="B83" s="43" t="s">
        <v>861</v>
      </c>
      <c r="C83" s="42" t="s">
        <v>1158</v>
      </c>
      <c r="D83" s="42" t="s">
        <v>20</v>
      </c>
      <c r="E83" s="43" t="s">
        <v>737</v>
      </c>
      <c r="F83" s="44" t="s">
        <v>749</v>
      </c>
      <c r="G83" s="43"/>
      <c r="H83" s="43"/>
      <c r="I83" s="43"/>
      <c r="J83" s="42" t="s">
        <v>1410</v>
      </c>
      <c r="K83" s="43" t="str">
        <f>VLOOKUP(C83,'[1]뷰프레임 전체_상세'!$B:$E,4,0)</f>
        <v>F-250S-444KGGG1R5</v>
      </c>
      <c r="L83" s="52" t="str">
        <f>IF(M83&lt;=0.9,HYPERLINK("http://www.lxhausys.co.kr/popup/rn/download/downloadPopup.jsp?from=plwindow&amp;uu=/upload/window/REPORT/LXH-EA24-086 F-250S-444KGGG1R5.pdf","1등급"),IF(M83&lt;=1.2,HYPERLINK("http://www.lxhausys.co.kr/popup/rn/download/downloadPopup.jsp?from=plwindow&amp;uu=/upload/window/REPORT/LXH-EA24-086 F-250S-444KGGG1R5.pdf","2등급"),IF(M83&lt;=1.8,HYPERLINK("http://www.lxhausys.co.kr/popup/rn/download/downloadPopup.jsp?from=plwindow&amp;uu=/upload/window/REPORT/LXH-EA24-086 F-250S-444KGGG1R5.pdf","3등급"),IF(M83&lt;=2.3,HYPERLINK("http://www.lxhausys.co.kr/popup/rn/download/downloadPopup.jsp?from=plwindow&amp;uu=/upload/window/REPORT/LXH-EA24-086 F-250S-444KGGG1R5.pdf","4등급"),IF(M83&lt;=2.8,HYPERLINK("http://www.lxhausys.co.kr/popup/rn/download/downloadPopup.jsp?from=plwindow&amp;uu=/upload/window/REPORT/LXH-EA24-086 F-250S-444KGGG1R5.pdf","5등급"),HYPERLINK("http://www.lxhausys.co.kr/popup/rn/download/downloadPopup.jsp?from=plwindow&amp;uu=/upload/window/REPORT/LXH-TW22-015 S-124-222FFGL1R86.pdf","등급외"))))))</f>
        <v>1등급</v>
      </c>
      <c r="M83" s="45">
        <v>0.85099999999999998</v>
      </c>
      <c r="N83" s="45">
        <v>0.79</v>
      </c>
      <c r="O83" s="42" t="s">
        <v>19</v>
      </c>
      <c r="P83" s="42" t="s">
        <v>22</v>
      </c>
      <c r="Q83" s="42" t="s">
        <v>19</v>
      </c>
      <c r="R83" s="42" t="s">
        <v>19</v>
      </c>
      <c r="S83" s="42" t="s">
        <v>19</v>
      </c>
      <c r="T83" s="42" t="s">
        <v>19</v>
      </c>
      <c r="U83" s="42" t="s">
        <v>19</v>
      </c>
      <c r="V83" s="42" t="s">
        <v>19</v>
      </c>
      <c r="W83" s="42" t="s">
        <v>19</v>
      </c>
      <c r="X83" s="42" t="s">
        <v>75</v>
      </c>
    </row>
    <row r="84" spans="1:24">
      <c r="A84" s="42" t="s">
        <v>679</v>
      </c>
      <c r="B84" s="43" t="s">
        <v>862</v>
      </c>
      <c r="C84" s="42" t="s">
        <v>1159</v>
      </c>
      <c r="D84" s="42" t="s">
        <v>20</v>
      </c>
      <c r="E84" s="43" t="s">
        <v>738</v>
      </c>
      <c r="F84" s="44" t="s">
        <v>751</v>
      </c>
      <c r="G84" s="43"/>
      <c r="H84" s="43"/>
      <c r="I84" s="43"/>
      <c r="J84" s="42" t="s">
        <v>1410</v>
      </c>
      <c r="K84" s="43" t="str">
        <f>VLOOKUP(C84,'[1]뷰프레임 전체_상세'!$B:$E,4,0)</f>
        <v>F-250S-422KGGS2A5</v>
      </c>
      <c r="L84" s="52" t="str">
        <f>IF(M84&lt;=0.9,HYPERLINK("http://www.lxhausys.co.kr/popup/rn/download/downloadPopup.jsp?from=plwindow&amp;uu=/upload/window/REPORT/LXH-EA24-087 F-250S-422KGGS2A5.pdf","1등급"),IF(M84&lt;=1.2,HYPERLINK("http://www.lxhausys.co.kr/popup/rn/download/downloadPopup.jsp?from=plwindow&amp;uu=/upload/window/REPORT/LXH-EA24-087 F-250S-422KGGS2A5.pdf","2등급"),IF(M84&lt;=1.8,HYPERLINK("http://www.lxhausys.co.kr/popup/rn/download/downloadPopup.jsp?from=plwindow&amp;uu=/upload/window/REPORT/LXH-EA24-087 F-250S-422KGGS2A5.pdf","3등급"),IF(M84&lt;=2.3,HYPERLINK("http://www.lxhausys.co.kr/popup/rn/download/downloadPopup.jsp?from=plwindow&amp;uu=/upload/window/REPORT/LXH-EA24-087 F-250S-422KGGS2A5.pdf","4등급"),IF(M84&lt;=2.8,HYPERLINK("http://www.lxhausys.co.kr/popup/rn/download/downloadPopup.jsp?from=plwindow&amp;uu=/upload/window/REPORT/LXH-EA24-087 F-250S-422KGGS2A5.pdf","5등급"),HYPERLINK("http://www.lxhausys.co.kr/popup/rn/download/downloadPopup.jsp?from=plwindow&amp;uu=/upload/window/REPORT/LXH-TW22-015 S-124-222FFGL1R87.pdf","등급외"))))))</f>
        <v>1등급</v>
      </c>
      <c r="M84" s="45">
        <v>0.80800000000000005</v>
      </c>
      <c r="N84" s="45">
        <v>0.79</v>
      </c>
      <c r="O84" s="42" t="s">
        <v>19</v>
      </c>
      <c r="P84" s="42" t="s">
        <v>22</v>
      </c>
      <c r="Q84" s="42" t="s">
        <v>19</v>
      </c>
      <c r="R84" s="42" t="s">
        <v>19</v>
      </c>
      <c r="S84" s="42" t="s">
        <v>19</v>
      </c>
      <c r="T84" s="42" t="s">
        <v>19</v>
      </c>
      <c r="U84" s="42" t="s">
        <v>19</v>
      </c>
      <c r="V84" s="42" t="s">
        <v>19</v>
      </c>
      <c r="W84" s="42" t="s">
        <v>19</v>
      </c>
      <c r="X84" s="42" t="s">
        <v>75</v>
      </c>
    </row>
    <row r="85" spans="1:24">
      <c r="A85" s="42" t="s">
        <v>679</v>
      </c>
      <c r="B85" s="43" t="s">
        <v>863</v>
      </c>
      <c r="C85" s="42" t="s">
        <v>1160</v>
      </c>
      <c r="D85" s="42" t="s">
        <v>20</v>
      </c>
      <c r="E85" s="43" t="s">
        <v>739</v>
      </c>
      <c r="F85" s="44" t="s">
        <v>752</v>
      </c>
      <c r="G85" s="43"/>
      <c r="H85" s="43"/>
      <c r="I85" s="43"/>
      <c r="J85" s="42" t="s">
        <v>1410</v>
      </c>
      <c r="K85" s="43" t="str">
        <f>VLOOKUP(C85,'[1]뷰프레임 전체_상세'!$B:$E,4,0)</f>
        <v>F-250S-444GGGS2A5</v>
      </c>
      <c r="L85" s="52" t="str">
        <f>IF(M85&lt;=0.9,HYPERLINK("http://www.lxhausys.co.kr/popup/rn/download/downloadPopup.jsp?from=plwindow&amp;uu=/upload/window/REPORT/LXH-EA24-088 F-250S-444GGGS2A5.pdf","1등급"),IF(M85&lt;=1.2,HYPERLINK("http://www.lxhausys.co.kr/popup/rn/download/downloadPopup.jsp?from=plwindow&amp;uu=/upload/window/REPORT/LXH-EA24-088 F-250S-444GGGS2A5.pdf","2등급"),IF(M85&lt;=1.8,HYPERLINK("http://www.lxhausys.co.kr/popup/rn/download/downloadPopup.jsp?from=plwindow&amp;uu=/upload/window/REPORT/LXH-EA24-088 F-250S-444GGGS2A5.pdf","3등급"),IF(M85&lt;=2.3,HYPERLINK("http://www.lxhausys.co.kr/popup/rn/download/downloadPopup.jsp?from=plwindow&amp;uu=/upload/window/REPORT/LXH-EA24-088 F-250S-444GGGS2A5.pdf","4등급"),IF(M85&lt;=2.8,HYPERLINK("http://www.lxhausys.co.kr/popup/rn/download/downloadPopup.jsp?from=plwindow&amp;uu=/upload/window/REPORT/LXH-EA24-088 F-250S-444GGGS2A5.pdf","5등급"),HYPERLINK("http://www.lxhausys.co.kr/popup/rn/download/downloadPopup.jsp?from=plwindow&amp;uu=/upload/window/REPORT/LXH-TW22-015 S-124-222FFGL1R88.pdf","등급외"))))))</f>
        <v>2등급</v>
      </c>
      <c r="M85" s="45">
        <v>0.93100000000000005</v>
      </c>
      <c r="N85" s="45">
        <v>0.81</v>
      </c>
      <c r="O85" s="42" t="s">
        <v>19</v>
      </c>
      <c r="P85" s="42" t="s">
        <v>22</v>
      </c>
      <c r="Q85" s="42" t="s">
        <v>19</v>
      </c>
      <c r="R85" s="42" t="s">
        <v>19</v>
      </c>
      <c r="S85" s="42" t="s">
        <v>19</v>
      </c>
      <c r="T85" s="42" t="s">
        <v>19</v>
      </c>
      <c r="U85" s="42" t="s">
        <v>19</v>
      </c>
      <c r="V85" s="42" t="s">
        <v>19</v>
      </c>
      <c r="W85" s="42" t="s">
        <v>19</v>
      </c>
      <c r="X85" s="42" t="s">
        <v>75</v>
      </c>
    </row>
    <row r="86" spans="1:24">
      <c r="A86" s="42" t="s">
        <v>679</v>
      </c>
      <c r="B86" s="43" t="s">
        <v>864</v>
      </c>
      <c r="C86" s="42" t="s">
        <v>1161</v>
      </c>
      <c r="D86" s="42" t="s">
        <v>20</v>
      </c>
      <c r="E86" s="43" t="s">
        <v>740</v>
      </c>
      <c r="F86" s="44" t="s">
        <v>753</v>
      </c>
      <c r="G86" s="43"/>
      <c r="H86" s="43"/>
      <c r="I86" s="43"/>
      <c r="J86" s="42" t="s">
        <v>1410</v>
      </c>
      <c r="K86" s="43" t="str">
        <f>VLOOKUP(C86,'[1]뷰프레임 전체_상세'!$B:$E,4,0)</f>
        <v>F-250S-422GSGS2R5</v>
      </c>
      <c r="L86" s="52" t="str">
        <f>IF(M86&lt;=0.9,HYPERLINK("http://www.lxhausys.co.kr/popup/rn/download/downloadPopup.jsp?from=plwindow&amp;uu=/upload/window/REPORT/LXH-EA24-089 F-250S-422GSGS2R5.pdf","1등급"),IF(M86&lt;=1.2,HYPERLINK("http://www.lxhausys.co.kr/popup/rn/download/downloadPopup.jsp?from=plwindow&amp;uu=/upload/window/REPORT/LXH-EA24-089 F-250S-422GSGS2R5.pdf","2등급"),IF(M86&lt;=1.8,HYPERLINK("http://www.lxhausys.co.kr/popup/rn/download/downloadPopup.jsp?from=plwindow&amp;uu=/upload/window/REPORT/LXH-EA24-089 F-250S-422GSGS2R5.pdf","3등급"),IF(M86&lt;=2.3,HYPERLINK("http://www.lxhausys.co.kr/popup/rn/download/downloadPopup.jsp?from=plwindow&amp;uu=/upload/window/REPORT/LXH-EA24-089 F-250S-422GSGS2R5.pdf","4등급"),IF(M86&lt;=2.8,HYPERLINK("http://www.lxhausys.co.kr/popup/rn/download/downloadPopup.jsp?from=plwindow&amp;uu=/upload/window/REPORT/LXH-EA24-089 F-250S-422GSGS2R5.pdf","5등급"),HYPERLINK("http://www.lxhausys.co.kr/popup/rn/download/downloadPopup.jsp?from=plwindow&amp;uu=/upload/window/REPORT/LXH-TW22-015 S-124-222FFGL1R89.pdf","등급외"))))))</f>
        <v>1등급</v>
      </c>
      <c r="M86" s="45">
        <v>0.68500000000000005</v>
      </c>
      <c r="N86" s="45">
        <v>0.79</v>
      </c>
      <c r="O86" s="42" t="s">
        <v>19</v>
      </c>
      <c r="P86" s="42" t="s">
        <v>22</v>
      </c>
      <c r="Q86" s="42" t="s">
        <v>19</v>
      </c>
      <c r="R86" s="42" t="s">
        <v>19</v>
      </c>
      <c r="S86" s="42" t="s">
        <v>19</v>
      </c>
      <c r="T86" s="42" t="s">
        <v>19</v>
      </c>
      <c r="U86" s="42" t="s">
        <v>19</v>
      </c>
      <c r="V86" s="42" t="s">
        <v>19</v>
      </c>
      <c r="W86" s="42" t="s">
        <v>19</v>
      </c>
      <c r="X86" s="42" t="s">
        <v>75</v>
      </c>
    </row>
    <row r="87" spans="1:24">
      <c r="A87" s="42" t="s">
        <v>679</v>
      </c>
      <c r="B87" s="43" t="s">
        <v>865</v>
      </c>
      <c r="C87" s="42" t="s">
        <v>1162</v>
      </c>
      <c r="D87" s="42" t="s">
        <v>20</v>
      </c>
      <c r="E87" s="43" t="s">
        <v>736</v>
      </c>
      <c r="F87" s="44" t="s">
        <v>749</v>
      </c>
      <c r="G87" s="43"/>
      <c r="H87" s="43"/>
      <c r="I87" s="43"/>
      <c r="J87" s="42" t="s">
        <v>1410</v>
      </c>
      <c r="K87" s="43" t="str">
        <f>VLOOKUP(C87,'[1]뷰프레임 전체_상세'!$B:$E,4,0)</f>
        <v>F-250S-444KGGG2A5</v>
      </c>
      <c r="L87" s="52" t="str">
        <f>IF(M87&lt;=0.9,HYPERLINK("http://www.lxhausys.co.kr/popup/rn/download/downloadPopup.jsp?from=plwindow&amp;uu=/upload/window/REPORT/LXH-EA24-090 F-250S-444KGGG2A5.pdf","1등급"),IF(M87&lt;=1.2,HYPERLINK("http://www.lxhausys.co.kr/popup/rn/download/downloadPopup.jsp?from=plwindow&amp;uu=/upload/window/REPORT/LXH-EA24-090 F-250S-444KGGG2A5.pdf","2등급"),IF(M87&lt;=1.8,HYPERLINK("http://www.lxhausys.co.kr/popup/rn/download/downloadPopup.jsp?from=plwindow&amp;uu=/upload/window/REPORT/LXH-EA24-090 F-250S-444KGGG2A5.pdf","3등급"),IF(M87&lt;=2.3,HYPERLINK("http://www.lxhausys.co.kr/popup/rn/download/downloadPopup.jsp?from=plwindow&amp;uu=/upload/window/REPORT/LXH-EA24-090 F-250S-444KGGG2A5.pdf","4등급"),IF(M87&lt;=2.8,HYPERLINK("http://www.lxhausys.co.kr/popup/rn/download/downloadPopup.jsp?from=plwindow&amp;uu=/upload/window/REPORT/LXH-EA24-090 F-250S-444KGGG2A5.pdf","5등급"),HYPERLINK("http://www.lxhausys.co.kr/popup/rn/download/downloadPopup.jsp?from=plwindow&amp;uu=/upload/window/REPORT/LXH-TW22-015 S-124-222FFGL1R90.pdf","등급외"))))))</f>
        <v>2등급</v>
      </c>
      <c r="M87" s="45">
        <v>0.94499999999999995</v>
      </c>
      <c r="N87" s="45">
        <v>0.77</v>
      </c>
      <c r="O87" s="42" t="s">
        <v>19</v>
      </c>
      <c r="P87" s="42" t="s">
        <v>22</v>
      </c>
      <c r="Q87" s="42" t="s">
        <v>19</v>
      </c>
      <c r="R87" s="42" t="s">
        <v>19</v>
      </c>
      <c r="S87" s="42" t="s">
        <v>19</v>
      </c>
      <c r="T87" s="42" t="s">
        <v>19</v>
      </c>
      <c r="U87" s="42" t="s">
        <v>19</v>
      </c>
      <c r="V87" s="42" t="s">
        <v>19</v>
      </c>
      <c r="W87" s="42" t="s">
        <v>19</v>
      </c>
      <c r="X87" s="42" t="s">
        <v>75</v>
      </c>
    </row>
    <row r="88" spans="1:24">
      <c r="A88" s="42" t="s">
        <v>679</v>
      </c>
      <c r="B88" s="43" t="s">
        <v>866</v>
      </c>
      <c r="C88" s="42" t="s">
        <v>1163</v>
      </c>
      <c r="D88" s="42" t="s">
        <v>20</v>
      </c>
      <c r="E88" s="43" t="s">
        <v>734</v>
      </c>
      <c r="F88" s="44" t="s">
        <v>747</v>
      </c>
      <c r="G88" s="43"/>
      <c r="H88" s="43"/>
      <c r="I88" s="43"/>
      <c r="J88" s="42" t="s">
        <v>1410</v>
      </c>
      <c r="K88" s="43" t="str">
        <f>VLOOKUP(C88,'[1]뷰프레임 전체_상세'!$B:$E,4,0)</f>
        <v>F-250S-488KGGG2A5</v>
      </c>
      <c r="L88" s="52" t="str">
        <f>IF(M88&lt;=0.9,HYPERLINK("http://www.lxhausys.co.kr/popup/rn/download/downloadPopup.jsp?from=plwindow&amp;uu=/upload/window/REPORT/LXH-EA24-091 F-250S-488KGGG2A5.pdf","1등급"),IF(M88&lt;=1.2,HYPERLINK("http://www.lxhausys.co.kr/popup/rn/download/downloadPopup.jsp?from=plwindow&amp;uu=/upload/window/REPORT/LXH-EA24-091 F-250S-488KGGG2A5.pdf","2등급"),IF(M88&lt;=1.8,HYPERLINK("http://www.lxhausys.co.kr/popup/rn/download/downloadPopup.jsp?from=plwindow&amp;uu=/upload/window/REPORT/LXH-EA24-091 F-250S-488KGGG2A5.pdf","3등급"),IF(M88&lt;=2.3,HYPERLINK("http://www.lxhausys.co.kr/popup/rn/download/downloadPopup.jsp?from=plwindow&amp;uu=/upload/window/REPORT/LXH-EA24-091 F-250S-488KGGG2A5.pdf","4등급"),IF(M88&lt;=2.8,HYPERLINK("http://www.lxhausys.co.kr/popup/rn/download/downloadPopup.jsp?from=plwindow&amp;uu=/upload/window/REPORT/LXH-EA24-091 F-250S-488KGGG2A5.pdf","5등급"),HYPERLINK("http://www.lxhausys.co.kr/popup/rn/download/downloadPopup.jsp?from=plwindow&amp;uu=/upload/window/REPORT/LXH-TW22-015 S-124-222FFGL1R91.pdf","등급외"))))))</f>
        <v>1등급</v>
      </c>
      <c r="M88" s="45">
        <v>0.871</v>
      </c>
      <c r="N88" s="45">
        <v>0.81</v>
      </c>
      <c r="O88" s="42" t="s">
        <v>19</v>
      </c>
      <c r="P88" s="42" t="s">
        <v>22</v>
      </c>
      <c r="Q88" s="42" t="s">
        <v>19</v>
      </c>
      <c r="R88" s="42" t="s">
        <v>19</v>
      </c>
      <c r="S88" s="42" t="s">
        <v>19</v>
      </c>
      <c r="T88" s="42" t="s">
        <v>19</v>
      </c>
      <c r="U88" s="42" t="s">
        <v>19</v>
      </c>
      <c r="V88" s="42" t="s">
        <v>19</v>
      </c>
      <c r="W88" s="42" t="s">
        <v>19</v>
      </c>
      <c r="X88" s="42" t="s">
        <v>75</v>
      </c>
    </row>
    <row r="89" spans="1:24">
      <c r="A89" s="42" t="s">
        <v>679</v>
      </c>
      <c r="B89" s="43" t="s">
        <v>867</v>
      </c>
      <c r="C89" s="42" t="s">
        <v>1164</v>
      </c>
      <c r="D89" s="42" t="s">
        <v>20</v>
      </c>
      <c r="E89" s="43" t="s">
        <v>739</v>
      </c>
      <c r="F89" s="44" t="s">
        <v>750</v>
      </c>
      <c r="G89" s="43"/>
      <c r="H89" s="43"/>
      <c r="I89" s="43"/>
      <c r="J89" s="42" t="s">
        <v>1410</v>
      </c>
      <c r="K89" s="43" t="str">
        <f>VLOOKUP(C89,'[1]뷰프레임 전체_상세'!$B:$E,4,0)</f>
        <v>F-250S-444GGGS1R5</v>
      </c>
      <c r="L89" s="52" t="str">
        <f>IF(M89&lt;=0.9,HYPERLINK("http://www.lxhausys.co.kr/popup/rn/download/downloadPopup.jsp?from=plwindow&amp;uu=/upload/window/REPORT/LXH-EA24-092 F-250S-444GGGS1R5.pdf","1등급"),IF(M89&lt;=1.2,HYPERLINK("http://www.lxhausys.co.kr/popup/rn/download/downloadPopup.jsp?from=plwindow&amp;uu=/upload/window/REPORT/LXH-EA24-092 F-250S-444GGGS1R5.pdf","2등급"),IF(M89&lt;=1.8,HYPERLINK("http://www.lxhausys.co.kr/popup/rn/download/downloadPopup.jsp?from=plwindow&amp;uu=/upload/window/REPORT/LXH-EA24-092 F-250S-444GGGS1R5.pdf","3등급"),IF(M89&lt;=2.3,HYPERLINK("http://www.lxhausys.co.kr/popup/rn/download/downloadPopup.jsp?from=plwindow&amp;uu=/upload/window/REPORT/LXH-EA24-092 F-250S-444GGGS1R5.pdf","4등급"),IF(M89&lt;=2.8,HYPERLINK("http://www.lxhausys.co.kr/popup/rn/download/downloadPopup.jsp?from=plwindow&amp;uu=/upload/window/REPORT/LXH-EA24-092 F-250S-444GGGS1R5.pdf","5등급"),HYPERLINK("http://www.lxhausys.co.kr/popup/rn/download/downloadPopup.jsp?from=plwindow&amp;uu=/upload/window/REPORT/LXH-TW22-015 S-124-222FFGL1R92.pdf","등급외"))))))</f>
        <v>1등급</v>
      </c>
      <c r="M89" s="45">
        <v>0.84499999999999997</v>
      </c>
      <c r="N89" s="45">
        <v>0.8</v>
      </c>
      <c r="O89" s="42" t="s">
        <v>19</v>
      </c>
      <c r="P89" s="42" t="s">
        <v>22</v>
      </c>
      <c r="Q89" s="42" t="s">
        <v>19</v>
      </c>
      <c r="R89" s="42" t="s">
        <v>19</v>
      </c>
      <c r="S89" s="42" t="s">
        <v>19</v>
      </c>
      <c r="T89" s="42" t="s">
        <v>19</v>
      </c>
      <c r="U89" s="42" t="s">
        <v>19</v>
      </c>
      <c r="V89" s="42" t="s">
        <v>19</v>
      </c>
      <c r="W89" s="42" t="s">
        <v>19</v>
      </c>
      <c r="X89" s="42" t="s">
        <v>75</v>
      </c>
    </row>
    <row r="90" spans="1:24">
      <c r="A90" s="42" t="s">
        <v>696</v>
      </c>
      <c r="B90" s="43" t="s">
        <v>868</v>
      </c>
      <c r="C90" s="42" t="s">
        <v>1165</v>
      </c>
      <c r="D90" s="42" t="s">
        <v>20</v>
      </c>
      <c r="E90" s="43" t="s">
        <v>1071</v>
      </c>
      <c r="F90" s="44"/>
      <c r="G90" s="43"/>
      <c r="H90" s="43"/>
      <c r="I90" s="43"/>
      <c r="J90" s="42" t="s">
        <v>1410</v>
      </c>
      <c r="K90" s="43" t="str">
        <f>VLOOKUP(C90,'[1]뷰프레임 전체_상세'!$B:$E,4,0)</f>
        <v>F-145S-226FFGS1R5</v>
      </c>
      <c r="L90" s="52" t="str">
        <f>IF(M90&lt;=0.9,HYPERLINK("http://www.lxhausys.co.kr/popup/rn/download/downloadPopup.jsp?from=plwindow&amp;uu=/upload/window/REPORT/LXH-EA24-093 F-145S-226FFGS1R5.pdf","1등급"),IF(M90&lt;=1.2,HYPERLINK("http://www.lxhausys.co.kr/popup/rn/download/downloadPopup.jsp?from=plwindow&amp;uu=/upload/window/REPORT/LXH-EA24-093 F-145S-226FFGS1R5.pdf","2등급"),IF(M90&lt;=1.8,HYPERLINK("http://www.lxhausys.co.kr/popup/rn/download/downloadPopup.jsp?from=plwindow&amp;uu=/upload/window/REPORT/LXH-EA24-093 F-145S-226FFGS1R5.pdf","3등급"),IF(M90&lt;=2.3,HYPERLINK("http://www.lxhausys.co.kr/popup/rn/download/downloadPopup.jsp?from=plwindow&amp;uu=/upload/window/REPORT/LXH-EA24-093 F-145S-226FFGS1R5.pdf","4등급"),IF(M90&lt;=2.8,HYPERLINK("http://www.lxhausys.co.kr/popup/rn/download/downloadPopup.jsp?from=plwindow&amp;uu=/upload/window/REPORT/LXH-EA24-093 F-145S-226FFGS1R5.pdf","5등급"),HYPERLINK("http://www.lxhausys.co.kr/popup/rn/download/downloadPopup.jsp?from=plwindow&amp;uu=/upload/window/REPORT/LXH-TW22-015 S-124-222FFGL1R93.pdf","등급외"))))))</f>
        <v>3등급</v>
      </c>
      <c r="M90" s="45">
        <v>1.7989999999999999</v>
      </c>
      <c r="N90" s="45">
        <v>1.55</v>
      </c>
      <c r="O90" s="42" t="s">
        <v>19</v>
      </c>
      <c r="P90" s="42" t="s">
        <v>103</v>
      </c>
      <c r="Q90" s="42" t="s">
        <v>19</v>
      </c>
      <c r="R90" s="42" t="s">
        <v>19</v>
      </c>
      <c r="S90" s="42" t="s">
        <v>19</v>
      </c>
      <c r="T90" s="42" t="s">
        <v>19</v>
      </c>
      <c r="U90" s="42" t="s">
        <v>19</v>
      </c>
      <c r="V90" s="42" t="s">
        <v>19</v>
      </c>
      <c r="W90" s="42" t="s">
        <v>19</v>
      </c>
      <c r="X90" s="42" t="s">
        <v>75</v>
      </c>
    </row>
    <row r="91" spans="1:24">
      <c r="A91" s="42" t="s">
        <v>696</v>
      </c>
      <c r="B91" s="43" t="s">
        <v>869</v>
      </c>
      <c r="C91" s="42" t="s">
        <v>1166</v>
      </c>
      <c r="D91" s="42" t="s">
        <v>20</v>
      </c>
      <c r="E91" s="43" t="s">
        <v>719</v>
      </c>
      <c r="F91" s="44"/>
      <c r="G91" s="43"/>
      <c r="H91" s="43"/>
      <c r="I91" s="43"/>
      <c r="J91" s="42" t="s">
        <v>1410</v>
      </c>
      <c r="K91" s="43" t="str">
        <f>VLOOKUP(C91,'[1]뷰프레임 전체_상세'!$B:$E,4,0)</f>
        <v>F-145S-226FFKG1R5</v>
      </c>
      <c r="L91" s="52" t="str">
        <f>IF(M91&lt;=0.9,HYPERLINK("http://www.lxhausys.co.kr/popup/rn/download/downloadPopup.jsp?from=plwindow&amp;uu=/upload/window/REPORT/LXH-EA24-094 F-145S-226FFKG1R5.pdf","1등급"),IF(M91&lt;=1.2,HYPERLINK("http://www.lxhausys.co.kr/popup/rn/download/downloadPopup.jsp?from=plwindow&amp;uu=/upload/window/REPORT/LXH-EA24-094 F-145S-226FFKG1R5.pdf","2등급"),IF(M91&lt;=1.8,HYPERLINK("http://www.lxhausys.co.kr/popup/rn/download/downloadPopup.jsp?from=plwindow&amp;uu=/upload/window/REPORT/LXH-EA24-094 F-145S-226FFKG1R5.pdf","3등급"),IF(M91&lt;=2.3,HYPERLINK("http://www.lxhausys.co.kr/popup/rn/download/downloadPopup.jsp?from=plwindow&amp;uu=/upload/window/REPORT/LXH-EA24-094 F-145S-226FFKG1R5.pdf","4등급"),IF(M91&lt;=2.8,HYPERLINK("http://www.lxhausys.co.kr/popup/rn/download/downloadPopup.jsp?from=plwindow&amp;uu=/upload/window/REPORT/LXH-EA24-094 F-145S-226FFKG1R5.pdf","5등급"),HYPERLINK("http://www.lxhausys.co.kr/popup/rn/download/downloadPopup.jsp?from=plwindow&amp;uu=/upload/window/REPORT/LXH-TW22-015 S-124-222FFGL1R94.pdf","등급외"))))))</f>
        <v>3등급</v>
      </c>
      <c r="M91" s="45">
        <v>1.6719999999999999</v>
      </c>
      <c r="N91" s="45">
        <v>1.46</v>
      </c>
      <c r="O91" s="42" t="s">
        <v>19</v>
      </c>
      <c r="P91" s="42" t="s">
        <v>103</v>
      </c>
      <c r="Q91" s="42" t="s">
        <v>19</v>
      </c>
      <c r="R91" s="42" t="s">
        <v>19</v>
      </c>
      <c r="S91" s="42" t="s">
        <v>19</v>
      </c>
      <c r="T91" s="42" t="s">
        <v>19</v>
      </c>
      <c r="U91" s="42" t="s">
        <v>19</v>
      </c>
      <c r="V91" s="42" t="s">
        <v>19</v>
      </c>
      <c r="W91" s="42" t="s">
        <v>19</v>
      </c>
      <c r="X91" s="42" t="s">
        <v>75</v>
      </c>
    </row>
    <row r="92" spans="1:24">
      <c r="A92" s="42" t="s">
        <v>696</v>
      </c>
      <c r="B92" s="43" t="s">
        <v>870</v>
      </c>
      <c r="C92" s="42" t="s">
        <v>1167</v>
      </c>
      <c r="D92" s="42" t="s">
        <v>20</v>
      </c>
      <c r="E92" s="43" t="s">
        <v>1070</v>
      </c>
      <c r="F92" s="44"/>
      <c r="G92" s="43"/>
      <c r="H92" s="43"/>
      <c r="I92" s="43"/>
      <c r="J92" s="42" t="s">
        <v>1410</v>
      </c>
      <c r="K92" s="43" t="str">
        <f>VLOOKUP(C92,'[1]뷰프레임 전체_상세'!$B:$E,4,0)</f>
        <v>F-145S-226FFGS1A5</v>
      </c>
      <c r="L92" s="52" t="str">
        <f>IF(M92&lt;=0.9,HYPERLINK("http://www.lxhausys.co.kr/popup/rn/download/downloadPopup.jsp?from=plwindow&amp;uu=/upload/window/REPORT/LXH-EA24-095 F-145S-226FFGS1A5.pdf","1등급"),IF(M92&lt;=1.2,HYPERLINK("http://www.lxhausys.co.kr/popup/rn/download/downloadPopup.jsp?from=plwindow&amp;uu=/upload/window/REPORT/LXH-EA24-095 F-145S-226FFGS1A5.pdf","2등급"),IF(M92&lt;=1.8,HYPERLINK("http://www.lxhausys.co.kr/popup/rn/download/downloadPopup.jsp?from=plwindow&amp;uu=/upload/window/REPORT/LXH-EA24-095 F-145S-226FFGS1A5.pdf","3등급"),IF(M92&lt;=2.3,HYPERLINK("http://www.lxhausys.co.kr/popup/rn/download/downloadPopup.jsp?from=plwindow&amp;uu=/upload/window/REPORT/LXH-EA24-095 F-145S-226FFGS1A5.pdf","4등급"),IF(M92&lt;=2.8,HYPERLINK("http://www.lxhausys.co.kr/popup/rn/download/downloadPopup.jsp?from=plwindow&amp;uu=/upload/window/REPORT/LXH-EA24-095 F-145S-226FFGS1A5.pdf","5등급"),HYPERLINK("http://www.lxhausys.co.kr/popup/rn/download/downloadPopup.jsp?from=plwindow&amp;uu=/upload/window/REPORT/LXH-TW22-015 S-124-222FFGL1R95.pdf","등급외"))))))</f>
        <v>4등급</v>
      </c>
      <c r="M92" s="45">
        <v>1.9570000000000001</v>
      </c>
      <c r="N92" s="45">
        <v>1.55</v>
      </c>
      <c r="O92" s="42" t="s">
        <v>19</v>
      </c>
      <c r="P92" s="42" t="s">
        <v>103</v>
      </c>
      <c r="Q92" s="42" t="s">
        <v>19</v>
      </c>
      <c r="R92" s="42" t="s">
        <v>19</v>
      </c>
      <c r="S92" s="42" t="s">
        <v>19</v>
      </c>
      <c r="T92" s="42" t="s">
        <v>19</v>
      </c>
      <c r="U92" s="42" t="s">
        <v>19</v>
      </c>
      <c r="V92" s="42" t="s">
        <v>19</v>
      </c>
      <c r="W92" s="42" t="s">
        <v>19</v>
      </c>
      <c r="X92" s="42" t="s">
        <v>75</v>
      </c>
    </row>
    <row r="93" spans="1:24">
      <c r="A93" s="42" t="s">
        <v>696</v>
      </c>
      <c r="B93" s="43" t="s">
        <v>871</v>
      </c>
      <c r="C93" s="42" t="s">
        <v>1168</v>
      </c>
      <c r="D93" s="42" t="s">
        <v>20</v>
      </c>
      <c r="E93" s="43" t="s">
        <v>714</v>
      </c>
      <c r="F93" s="44"/>
      <c r="G93" s="43"/>
      <c r="H93" s="43"/>
      <c r="I93" s="43"/>
      <c r="J93" s="42" t="s">
        <v>1410</v>
      </c>
      <c r="K93" s="43" t="str">
        <f>VLOOKUP(C93,'[1]뷰프레임 전체_상세'!$B:$E,4,0)</f>
        <v>F-145S-226FFKG1A5</v>
      </c>
      <c r="L93" s="52" t="str">
        <f>IF(M93&lt;=0.9,HYPERLINK("http://www.lxhausys.co.kr/popup/rn/download/downloadPopup.jsp?from=plwindow&amp;uu=/upload/window/REPORT/LXH-EA24-096 F-145S-226FFKG1A5.pdf","1등급"),IF(M93&lt;=1.2,HYPERLINK("http://www.lxhausys.co.kr/popup/rn/download/downloadPopup.jsp?from=plwindow&amp;uu=/upload/window/REPORT/LXH-EA24-096 F-145S-226FFKG1A5.pdf","2등급"),IF(M93&lt;=1.8,HYPERLINK("http://www.lxhausys.co.kr/popup/rn/download/downloadPopup.jsp?from=plwindow&amp;uu=/upload/window/REPORT/LXH-EA24-096 F-145S-226FFKG1A5.pdf","3등급"),IF(M93&lt;=2.3,HYPERLINK("http://www.lxhausys.co.kr/popup/rn/download/downloadPopup.jsp?from=plwindow&amp;uu=/upload/window/REPORT/LXH-EA24-096 F-145S-226FFKG1A5.pdf","4등급"),IF(M93&lt;=2.8,HYPERLINK("http://www.lxhausys.co.kr/popup/rn/download/downloadPopup.jsp?from=plwindow&amp;uu=/upload/window/REPORT/LXH-EA24-096 F-145S-226FFKG1A5.pdf","5등급"),HYPERLINK("http://www.lxhausys.co.kr/popup/rn/download/downloadPopup.jsp?from=plwindow&amp;uu=/upload/window/REPORT/LXH-TW22-015 S-124-222FFGL1R96.pdf","등급외"))))))</f>
        <v>4등급</v>
      </c>
      <c r="M93" s="45">
        <v>1.859</v>
      </c>
      <c r="N93" s="45">
        <v>1.52</v>
      </c>
      <c r="O93" s="42" t="s">
        <v>19</v>
      </c>
      <c r="P93" s="42" t="s">
        <v>103</v>
      </c>
      <c r="Q93" s="42" t="s">
        <v>19</v>
      </c>
      <c r="R93" s="42" t="s">
        <v>19</v>
      </c>
      <c r="S93" s="42" t="s">
        <v>19</v>
      </c>
      <c r="T93" s="42" t="s">
        <v>19</v>
      </c>
      <c r="U93" s="42" t="s">
        <v>19</v>
      </c>
      <c r="V93" s="42" t="s">
        <v>19</v>
      </c>
      <c r="W93" s="42" t="s">
        <v>19</v>
      </c>
      <c r="X93" s="42" t="s">
        <v>75</v>
      </c>
    </row>
    <row r="94" spans="1:24">
      <c r="A94" s="42" t="s">
        <v>696</v>
      </c>
      <c r="B94" s="43" t="s">
        <v>872</v>
      </c>
      <c r="C94" s="42" t="s">
        <v>1169</v>
      </c>
      <c r="D94" s="42" t="s">
        <v>20</v>
      </c>
      <c r="E94" s="43" t="s">
        <v>725</v>
      </c>
      <c r="F94" s="44"/>
      <c r="G94" s="43"/>
      <c r="H94" s="43"/>
      <c r="I94" s="43"/>
      <c r="J94" s="42" t="s">
        <v>1410</v>
      </c>
      <c r="K94" s="43" t="str">
        <f>VLOOKUP(C94,'[1]뷰프레임 전체_상세'!$B:$E,4,0)</f>
        <v>F-145S-228FFKG1R5</v>
      </c>
      <c r="L94" s="52" t="str">
        <f>IF(M94&lt;=0.9,HYPERLINK("http://www.lxhausys.co.kr/popup/rn/download/downloadPopup.jsp?from=plwindow&amp;uu=/upload/window/REPORT/LXH-EA24-097 F-145S-228FFKG1R5.pdf","1등급"),IF(M94&lt;=1.2,HYPERLINK("http://www.lxhausys.co.kr/popup/rn/download/downloadPopup.jsp?from=plwindow&amp;uu=/upload/window/REPORT/LXH-EA24-097 F-145S-228FFKG1R5.pdf","2등급"),IF(M94&lt;=1.8,HYPERLINK("http://www.lxhausys.co.kr/popup/rn/download/downloadPopup.jsp?from=plwindow&amp;uu=/upload/window/REPORT/LXH-EA24-097 F-145S-228FFKG1R5.pdf","3등급"),IF(M94&lt;=2.3,HYPERLINK("http://www.lxhausys.co.kr/popup/rn/download/downloadPopup.jsp?from=plwindow&amp;uu=/upload/window/REPORT/LXH-EA24-097 F-145S-228FFKG1R5.pdf","4등급"),IF(M94&lt;=2.8,HYPERLINK("http://www.lxhausys.co.kr/popup/rn/download/downloadPopup.jsp?from=plwindow&amp;uu=/upload/window/REPORT/LXH-EA24-097 F-145S-228FFKG1R5.pdf","5등급"),HYPERLINK("http://www.lxhausys.co.kr/popup/rn/download/downloadPopup.jsp?from=plwindow&amp;uu=/upload/window/REPORT/LXH-TW22-015 S-124-222FFGL1R97.pdf","등급외"))))))</f>
        <v>3등급</v>
      </c>
      <c r="M94" s="45">
        <v>1.653</v>
      </c>
      <c r="N94" s="45">
        <v>1.53</v>
      </c>
      <c r="O94" s="42" t="s">
        <v>19</v>
      </c>
      <c r="P94" s="42" t="s">
        <v>103</v>
      </c>
      <c r="Q94" s="42" t="s">
        <v>19</v>
      </c>
      <c r="R94" s="42" t="s">
        <v>19</v>
      </c>
      <c r="S94" s="42" t="s">
        <v>19</v>
      </c>
      <c r="T94" s="42" t="s">
        <v>19</v>
      </c>
      <c r="U94" s="42" t="s">
        <v>19</v>
      </c>
      <c r="V94" s="42" t="s">
        <v>19</v>
      </c>
      <c r="W94" s="42" t="s">
        <v>19</v>
      </c>
      <c r="X94" s="42" t="s">
        <v>75</v>
      </c>
    </row>
    <row r="95" spans="1:24">
      <c r="A95" s="42" t="s">
        <v>697</v>
      </c>
      <c r="B95" s="43" t="s">
        <v>873</v>
      </c>
      <c r="C95" s="42" t="s">
        <v>1170</v>
      </c>
      <c r="D95" s="42" t="s">
        <v>20</v>
      </c>
      <c r="E95" s="43" t="s">
        <v>730</v>
      </c>
      <c r="F95" s="44" t="s">
        <v>743</v>
      </c>
      <c r="G95" s="43"/>
      <c r="H95" s="43"/>
      <c r="I95" s="43"/>
      <c r="J95" s="42" t="s">
        <v>1410</v>
      </c>
      <c r="K95" s="43" t="str">
        <f>VLOOKUP(C95,'[1]뷰프레임 전체_상세'!$B:$E,4,0)</f>
        <v>F-265S-466KGGG2A5</v>
      </c>
      <c r="L95" s="52" t="str">
        <f>IF(M95&lt;=0.9,HYPERLINK("http://www.lxhausys.co.kr/popup/rn/download/downloadPopup.jsp?from=plwindow&amp;uu=/upload/window/REPORT/LXH-EA24-099 F-265S-466KGGG2A5.pdf","1등급"),IF(M95&lt;=1.2,HYPERLINK("http://www.lxhausys.co.kr/popup/rn/download/downloadPopup.jsp?from=plwindow&amp;uu=/upload/window/REPORT/LXH-EA24-099 F-265S-466KGGG2A5.pdf","2등급"),IF(M95&lt;=1.8,HYPERLINK("http://www.lxhausys.co.kr/popup/rn/download/downloadPopup.jsp?from=plwindow&amp;uu=/upload/window/REPORT/LXH-EA24-099 F-265S-466KGGG2A5.pdf","3등급"),IF(M95&lt;=2.3,HYPERLINK("http://www.lxhausys.co.kr/popup/rn/download/downloadPopup.jsp?from=plwindow&amp;uu=/upload/window/REPORT/LXH-EA24-099 F-265S-466KGGG2A5.pdf","4등급"),IF(M95&lt;=2.8,HYPERLINK("http://www.lxhausys.co.kr/popup/rn/download/downloadPopup.jsp?from=plwindow&amp;uu=/upload/window/REPORT/LXH-EA24-099 F-265S-466KGGG2A5.pdf","5등급"),HYPERLINK("http://www.lxhausys.co.kr/popup/rn/download/downloadPopup.jsp?from=plwindow&amp;uu=/upload/window/REPORT/LXH-TW22-015 S-124-222FFGL1R98.pdf","등급외"))))))</f>
        <v>1등급</v>
      </c>
      <c r="M95" s="45">
        <v>0.88900000000000001</v>
      </c>
      <c r="N95" s="45">
        <v>0.81</v>
      </c>
      <c r="O95" s="42" t="s">
        <v>19</v>
      </c>
      <c r="P95" s="42" t="s">
        <v>22</v>
      </c>
      <c r="Q95" s="42" t="s">
        <v>19</v>
      </c>
      <c r="R95" s="42" t="s">
        <v>19</v>
      </c>
      <c r="S95" s="42" t="s">
        <v>19</v>
      </c>
      <c r="T95" s="42" t="s">
        <v>19</v>
      </c>
      <c r="U95" s="42" t="s">
        <v>19</v>
      </c>
      <c r="V95" s="42" t="s">
        <v>19</v>
      </c>
      <c r="W95" s="42" t="s">
        <v>19</v>
      </c>
      <c r="X95" s="42" t="s">
        <v>75</v>
      </c>
    </row>
    <row r="96" spans="1:24">
      <c r="A96" s="42" t="s">
        <v>697</v>
      </c>
      <c r="B96" s="43" t="s">
        <v>874</v>
      </c>
      <c r="C96" s="42" t="s">
        <v>1171</v>
      </c>
      <c r="D96" s="42" t="s">
        <v>20</v>
      </c>
      <c r="E96" s="43" t="s">
        <v>732</v>
      </c>
      <c r="F96" s="44" t="s">
        <v>744</v>
      </c>
      <c r="G96" s="43"/>
      <c r="H96" s="43"/>
      <c r="I96" s="43"/>
      <c r="J96" s="42" t="s">
        <v>1410</v>
      </c>
      <c r="K96" s="43" t="str">
        <f>VLOOKUP(C96,'[1]뷰프레임 전체_상세'!$B:$E,4,0)</f>
        <v>F-265S-466KGGS2R5</v>
      </c>
      <c r="L96" s="52" t="str">
        <f>IF(M96&lt;=0.9,HYPERLINK("http://www.lxhausys.co.kr/popup/rn/download/downloadPopup.jsp?from=plwindow&amp;uu=/upload/window/REPORT/LXH-EA24-100 F-265S-466KGGS2R5.pdf","1등급"),IF(M96&lt;=1.2,HYPERLINK("http://www.lxhausys.co.kr/popup/rn/download/downloadPopup.jsp?from=plwindow&amp;uu=/upload/window/REPORT/LXH-EA24-100 F-265S-466KGGS2R5.pdf","2등급"),IF(M96&lt;=1.8,HYPERLINK("http://www.lxhausys.co.kr/popup/rn/download/downloadPopup.jsp?from=plwindow&amp;uu=/upload/window/REPORT/LXH-EA24-100 F-265S-466KGGS2R5.pdf","3등급"),IF(M96&lt;=2.3,HYPERLINK("http://www.lxhausys.co.kr/popup/rn/download/downloadPopup.jsp?from=plwindow&amp;uu=/upload/window/REPORT/LXH-EA24-100 F-265S-466KGGS2R5.pdf","4등급"),IF(M96&lt;=2.8,HYPERLINK("http://www.lxhausys.co.kr/popup/rn/download/downloadPopup.jsp?from=plwindow&amp;uu=/upload/window/REPORT/LXH-EA24-100 F-265S-466KGGS2R5.pdf","5등급"),HYPERLINK("http://www.lxhausys.co.kr/popup/rn/download/downloadPopup.jsp?from=plwindow&amp;uu=/upload/window/REPORT/LXH-TW22-015 S-124-222FFGL1R99.pdf","등급외"))))))</f>
        <v>1등급</v>
      </c>
      <c r="M96" s="45">
        <v>0.60299999999999998</v>
      </c>
      <c r="N96" s="45">
        <v>0.89</v>
      </c>
      <c r="O96" s="42" t="s">
        <v>19</v>
      </c>
      <c r="P96" s="42" t="s">
        <v>22</v>
      </c>
      <c r="Q96" s="42" t="s">
        <v>19</v>
      </c>
      <c r="R96" s="42" t="s">
        <v>19</v>
      </c>
      <c r="S96" s="42" t="s">
        <v>19</v>
      </c>
      <c r="T96" s="42" t="s">
        <v>19</v>
      </c>
      <c r="U96" s="42" t="s">
        <v>19</v>
      </c>
      <c r="V96" s="42" t="s">
        <v>19</v>
      </c>
      <c r="W96" s="42" t="s">
        <v>19</v>
      </c>
      <c r="X96" s="42" t="s">
        <v>75</v>
      </c>
    </row>
    <row r="97" spans="1:24">
      <c r="A97" s="42" t="s">
        <v>697</v>
      </c>
      <c r="B97" s="43" t="s">
        <v>875</v>
      </c>
      <c r="C97" s="42" t="s">
        <v>1172</v>
      </c>
      <c r="D97" s="42" t="s">
        <v>20</v>
      </c>
      <c r="E97" s="43" t="s">
        <v>731</v>
      </c>
      <c r="F97" s="44" t="s">
        <v>744</v>
      </c>
      <c r="G97" s="43"/>
      <c r="H97" s="43"/>
      <c r="I97" s="43"/>
      <c r="J97" s="42" t="s">
        <v>1410</v>
      </c>
      <c r="K97" s="43" t="str">
        <f>VLOOKUP(C97,'[1]뷰프레임 전체_상세'!$B:$E,4,0)</f>
        <v>F-265S-466GGGS1R5</v>
      </c>
      <c r="L97" s="52" t="str">
        <f>IF(M97&lt;=0.9,HYPERLINK("http://www.lxhausys.co.kr/popup/rn/download/downloadPopup.jsp?from=plwindow&amp;uu=/upload/window/REPORT/LXH-EA24-101 F-265S-466GGGS1R5.pdf","1등급"),IF(M97&lt;=1.2,HYPERLINK("http://www.lxhausys.co.kr/popup/rn/download/downloadPopup.jsp?from=plwindow&amp;uu=/upload/window/REPORT/LXH-EA24-101 F-265S-466GGGS1R5.pdf","2등급"),IF(M97&lt;=1.8,HYPERLINK("http://www.lxhausys.co.kr/popup/rn/download/downloadPopup.jsp?from=plwindow&amp;uu=/upload/window/REPORT/LXH-EA24-101 F-265S-466GGGS1R5.pdf","3등급"),IF(M97&lt;=2.3,HYPERLINK("http://www.lxhausys.co.kr/popup/rn/download/downloadPopup.jsp?from=plwindow&amp;uu=/upload/window/REPORT/LXH-EA24-101 F-265S-466GGGS1R5.pdf","4등급"),IF(M97&lt;=2.8,HYPERLINK("http://www.lxhausys.co.kr/popup/rn/download/downloadPopup.jsp?from=plwindow&amp;uu=/upload/window/REPORT/LXH-EA24-101 F-265S-466GGGS1R5.pdf","5등급"),HYPERLINK("http://www.lxhausys.co.kr/popup/rn/download/downloadPopup.jsp?from=plwindow&amp;uu=/upload/window/REPORT/LXH-TW22-015 S-124-222FFGL1R100.pdf","등급외"))))))</f>
        <v>1등급</v>
      </c>
      <c r="M97" s="45">
        <v>0.82399999999999995</v>
      </c>
      <c r="N97" s="45">
        <v>0.82</v>
      </c>
      <c r="O97" s="42" t="s">
        <v>19</v>
      </c>
      <c r="P97" s="42" t="s">
        <v>22</v>
      </c>
      <c r="Q97" s="42" t="s">
        <v>19</v>
      </c>
      <c r="R97" s="42" t="s">
        <v>19</v>
      </c>
      <c r="S97" s="42" t="s">
        <v>19</v>
      </c>
      <c r="T97" s="42" t="s">
        <v>19</v>
      </c>
      <c r="U97" s="42" t="s">
        <v>19</v>
      </c>
      <c r="V97" s="42" t="s">
        <v>19</v>
      </c>
      <c r="W97" s="42" t="s">
        <v>19</v>
      </c>
      <c r="X97" s="42" t="s">
        <v>75</v>
      </c>
    </row>
    <row r="98" spans="1:24">
      <c r="A98" s="42" t="s">
        <v>697</v>
      </c>
      <c r="B98" s="43" t="s">
        <v>876</v>
      </c>
      <c r="C98" s="42" t="s">
        <v>1173</v>
      </c>
      <c r="D98" s="42" t="s">
        <v>20</v>
      </c>
      <c r="E98" s="43" t="s">
        <v>732</v>
      </c>
      <c r="F98" s="44" t="s">
        <v>743</v>
      </c>
      <c r="G98" s="43"/>
      <c r="H98" s="43"/>
      <c r="I98" s="43"/>
      <c r="J98" s="42" t="s">
        <v>1410</v>
      </c>
      <c r="K98" s="43" t="str">
        <f>VLOOKUP(C98,'[1]뷰프레임 전체_상세'!$B:$E,4,0)</f>
        <v>F-265S-466KGGG1R5</v>
      </c>
      <c r="L98" s="52" t="str">
        <f>IF(M98&lt;=0.9,HYPERLINK("http://www.lxhausys.co.kr/popup/rn/download/downloadPopup.jsp?from=plwindow&amp;uu=/upload/window/REPORT/LXH-EA24-102 F-265S-466KGGG1R5.pdf","1등급"),IF(M98&lt;=1.2,HYPERLINK("http://www.lxhausys.co.kr/popup/rn/download/downloadPopup.jsp?from=plwindow&amp;uu=/upload/window/REPORT/LXH-EA24-102 F-265S-466KGGG1R5.pdf","2등급"),IF(M98&lt;=1.8,HYPERLINK("http://www.lxhausys.co.kr/popup/rn/download/downloadPopup.jsp?from=plwindow&amp;uu=/upload/window/REPORT/LXH-EA24-102 F-265S-466KGGG1R5.pdf","3등급"),IF(M98&lt;=2.3,HYPERLINK("http://www.lxhausys.co.kr/popup/rn/download/downloadPopup.jsp?from=plwindow&amp;uu=/upload/window/REPORT/LXH-EA24-102 F-265S-466KGGG1R5.pdf","4등급"),IF(M98&lt;=2.8,HYPERLINK("http://www.lxhausys.co.kr/popup/rn/download/downloadPopup.jsp?from=plwindow&amp;uu=/upload/window/REPORT/LXH-EA24-102 F-265S-466KGGG1R5.pdf","5등급"),HYPERLINK("http://www.lxhausys.co.kr/popup/rn/download/downloadPopup.jsp?from=plwindow&amp;uu=/upload/window/REPORT/LXH-TW22-015 S-124-222FFGL1R101.pdf","등급외"))))))</f>
        <v>1등급</v>
      </c>
      <c r="M98" s="45">
        <v>0.83499999999999996</v>
      </c>
      <c r="N98" s="45">
        <v>0.84</v>
      </c>
      <c r="O98" s="42" t="s">
        <v>19</v>
      </c>
      <c r="P98" s="42" t="s">
        <v>22</v>
      </c>
      <c r="Q98" s="42" t="s">
        <v>19</v>
      </c>
      <c r="R98" s="42" t="s">
        <v>19</v>
      </c>
      <c r="S98" s="42" t="s">
        <v>19</v>
      </c>
      <c r="T98" s="42" t="s">
        <v>19</v>
      </c>
      <c r="U98" s="42" t="s">
        <v>19</v>
      </c>
      <c r="V98" s="42" t="s">
        <v>19</v>
      </c>
      <c r="W98" s="42" t="s">
        <v>19</v>
      </c>
      <c r="X98" s="42" t="s">
        <v>75</v>
      </c>
    </row>
    <row r="99" spans="1:24">
      <c r="A99" s="42" t="s">
        <v>698</v>
      </c>
      <c r="B99" s="43" t="s">
        <v>877</v>
      </c>
      <c r="C99" s="42" t="s">
        <v>1174</v>
      </c>
      <c r="D99" s="42" t="s">
        <v>20</v>
      </c>
      <c r="E99" s="43" t="s">
        <v>730</v>
      </c>
      <c r="F99" s="44" t="s">
        <v>743</v>
      </c>
      <c r="G99" s="43"/>
      <c r="H99" s="43"/>
      <c r="I99" s="43"/>
      <c r="J99" s="42" t="s">
        <v>1410</v>
      </c>
      <c r="K99" s="43" t="str">
        <f>VLOOKUP(C99,'[1]뷰프레임 전체_상세'!$B:$E,4,0)</f>
        <v>F-285S-466KGGG2A5</v>
      </c>
      <c r="L99" s="52" t="str">
        <f>IF(M99&lt;=0.9,HYPERLINK("http://www.lxhausys.co.kr/popup/rn/download/downloadPopup.jsp?from=plwindow&amp;uu=/upload/window/REPORT/LXH-EA24-103 F-285S-466KGGG2A5.pdf","1등급"),IF(M99&lt;=1.2,HYPERLINK("http://www.lxhausys.co.kr/popup/rn/download/downloadPopup.jsp?from=plwindow&amp;uu=/upload/window/REPORT/LXH-EA24-103 F-285S-466KGGG2A5.pdf","2등급"),IF(M99&lt;=1.8,HYPERLINK("http://www.lxhausys.co.kr/popup/rn/download/downloadPopup.jsp?from=plwindow&amp;uu=/upload/window/REPORT/LXH-EA24-103 F-285S-466KGGG2A5.pdf","3등급"),IF(M99&lt;=2.3,HYPERLINK("http://www.lxhausys.co.kr/popup/rn/download/downloadPopup.jsp?from=plwindow&amp;uu=/upload/window/REPORT/LXH-EA24-103 F-285S-466KGGG2A5.pdf","4등급"),IF(M99&lt;=2.8,HYPERLINK("http://www.lxhausys.co.kr/popup/rn/download/downloadPopup.jsp?from=plwindow&amp;uu=/upload/window/REPORT/LXH-EA24-103 F-285S-466KGGG2A5.pdf","5등급"),HYPERLINK("http://www.lxhausys.co.kr/popup/rn/download/downloadPopup.jsp?from=plwindow&amp;uu=/upload/window/REPORT/LXH-TW22-015 S-124-222FFGL1R102.pdf","등급외"))))))</f>
        <v>1등급</v>
      </c>
      <c r="M99" s="45">
        <v>0.88300000000000001</v>
      </c>
      <c r="N99" s="45">
        <v>0.78</v>
      </c>
      <c r="O99" s="42" t="s">
        <v>19</v>
      </c>
      <c r="P99" s="42" t="s">
        <v>22</v>
      </c>
      <c r="Q99" s="42" t="s">
        <v>19</v>
      </c>
      <c r="R99" s="42" t="s">
        <v>19</v>
      </c>
      <c r="S99" s="42" t="s">
        <v>19</v>
      </c>
      <c r="T99" s="42" t="s">
        <v>19</v>
      </c>
      <c r="U99" s="42" t="s">
        <v>19</v>
      </c>
      <c r="V99" s="42" t="s">
        <v>19</v>
      </c>
      <c r="W99" s="42" t="s">
        <v>19</v>
      </c>
      <c r="X99" s="42" t="s">
        <v>75</v>
      </c>
    </row>
    <row r="100" spans="1:24">
      <c r="A100" s="42" t="s">
        <v>698</v>
      </c>
      <c r="B100" s="43" t="s">
        <v>878</v>
      </c>
      <c r="C100" s="42" t="s">
        <v>1175</v>
      </c>
      <c r="D100" s="42" t="s">
        <v>20</v>
      </c>
      <c r="E100" s="43" t="s">
        <v>731</v>
      </c>
      <c r="F100" s="44" t="s">
        <v>744</v>
      </c>
      <c r="G100" s="43"/>
      <c r="H100" s="43"/>
      <c r="I100" s="43"/>
      <c r="J100" s="42" t="s">
        <v>1410</v>
      </c>
      <c r="K100" s="43" t="str">
        <f>VLOOKUP(C100,'[1]뷰프레임 전체_상세'!$B:$E,4,0)</f>
        <v>F-285S-466GGGS1R5</v>
      </c>
      <c r="L100" s="52" t="str">
        <f>IF(M100&lt;=0.9,HYPERLINK("http://www.lxhausys.co.kr/popup/rn/download/downloadPopup.jsp?from=plwindow&amp;uu=/upload/window/REPORT/LXH-EA24-104 F-285S-466GGGS1R5.pdf","1등급"),IF(M100&lt;=1.2,HYPERLINK("http://www.lxhausys.co.kr/popup/rn/download/downloadPopup.jsp?from=plwindow&amp;uu=/upload/window/REPORT/LXH-EA24-104 F-285S-466GGGS1R5.pdf","2등급"),IF(M100&lt;=1.8,HYPERLINK("http://www.lxhausys.co.kr/popup/rn/download/downloadPopup.jsp?from=plwindow&amp;uu=/upload/window/REPORT/LXH-EA24-104 F-285S-466GGGS1R5.pdf","3등급"),IF(M100&lt;=2.3,HYPERLINK("http://www.lxhausys.co.kr/popup/rn/download/downloadPopup.jsp?from=plwindow&amp;uu=/upload/window/REPORT/LXH-EA24-104 F-285S-466GGGS1R5.pdf","4등급"),IF(M100&lt;=2.8,HYPERLINK("http://www.lxhausys.co.kr/popup/rn/download/downloadPopup.jsp?from=plwindow&amp;uu=/upload/window/REPORT/LXH-EA24-104 F-285S-466GGGS1R5.pdf","5등급"),HYPERLINK("http://www.lxhausys.co.kr/popup/rn/download/downloadPopup.jsp?from=plwindow&amp;uu=/upload/window/REPORT/LXH-TW22-015 S-124-222FFGL1R103.pdf","등급외"))))))</f>
        <v>1등급</v>
      </c>
      <c r="M100" s="45">
        <v>0.81499999999999995</v>
      </c>
      <c r="N100" s="45">
        <v>0.78</v>
      </c>
      <c r="O100" s="42" t="s">
        <v>19</v>
      </c>
      <c r="P100" s="42" t="s">
        <v>22</v>
      </c>
      <c r="Q100" s="42" t="s">
        <v>19</v>
      </c>
      <c r="R100" s="42" t="s">
        <v>19</v>
      </c>
      <c r="S100" s="42" t="s">
        <v>19</v>
      </c>
      <c r="T100" s="42" t="s">
        <v>19</v>
      </c>
      <c r="U100" s="42" t="s">
        <v>19</v>
      </c>
      <c r="V100" s="42" t="s">
        <v>19</v>
      </c>
      <c r="W100" s="42" t="s">
        <v>19</v>
      </c>
      <c r="X100" s="42" t="s">
        <v>75</v>
      </c>
    </row>
    <row r="101" spans="1:24">
      <c r="A101" s="42" t="s">
        <v>698</v>
      </c>
      <c r="B101" s="43" t="s">
        <v>879</v>
      </c>
      <c r="C101" s="42" t="s">
        <v>1176</v>
      </c>
      <c r="D101" s="42" t="s">
        <v>20</v>
      </c>
      <c r="E101" s="43" t="s">
        <v>732</v>
      </c>
      <c r="F101" s="44" t="s">
        <v>743</v>
      </c>
      <c r="G101" s="43"/>
      <c r="H101" s="43"/>
      <c r="I101" s="43"/>
      <c r="J101" s="42" t="s">
        <v>1410</v>
      </c>
      <c r="K101" s="43" t="str">
        <f>VLOOKUP(C101,'[1]뷰프레임 전체_상세'!$B:$E,4,0)</f>
        <v>F-285S-466KGGG1R5</v>
      </c>
      <c r="L101" s="52" t="str">
        <f>IF(M101&lt;=0.9,HYPERLINK("http://www.lxhausys.co.kr/popup/rn/download/downloadPopup.jsp?from=plwindow&amp;uu=/upload/window/REPORT/LXH-EA24-105 F-285S-466KGGG1R5.pdf","1등급"),IF(M101&lt;=1.2,HYPERLINK("http://www.lxhausys.co.kr/popup/rn/download/downloadPopup.jsp?from=plwindow&amp;uu=/upload/window/REPORT/LXH-EA24-105 F-285S-466KGGG1R5.pdf","2등급"),IF(M101&lt;=1.8,HYPERLINK("http://www.lxhausys.co.kr/popup/rn/download/downloadPopup.jsp?from=plwindow&amp;uu=/upload/window/REPORT/LXH-EA24-105 F-285S-466KGGG1R5.pdf","3등급"),IF(M101&lt;=2.3,HYPERLINK("http://www.lxhausys.co.kr/popup/rn/download/downloadPopup.jsp?from=plwindow&amp;uu=/upload/window/REPORT/LXH-EA24-105 F-285S-466KGGG1R5.pdf","4등급"),IF(M101&lt;=2.8,HYPERLINK("http://www.lxhausys.co.kr/popup/rn/download/downloadPopup.jsp?from=plwindow&amp;uu=/upload/window/REPORT/LXH-EA24-105 F-285S-466KGGG1R5.pdf","5등급"),HYPERLINK("http://www.lxhausys.co.kr/popup/rn/download/downloadPopup.jsp?from=plwindow&amp;uu=/upload/window/REPORT/LXH-TW22-015 S-124-222FFGL1R104.pdf","등급외"))))))</f>
        <v>1등급</v>
      </c>
      <c r="M101" s="45">
        <v>0.83099999999999996</v>
      </c>
      <c r="N101" s="45">
        <v>0.84</v>
      </c>
      <c r="O101" s="42" t="s">
        <v>19</v>
      </c>
      <c r="P101" s="42" t="s">
        <v>22</v>
      </c>
      <c r="Q101" s="42" t="s">
        <v>19</v>
      </c>
      <c r="R101" s="42" t="s">
        <v>19</v>
      </c>
      <c r="S101" s="42" t="s">
        <v>19</v>
      </c>
      <c r="T101" s="42" t="s">
        <v>19</v>
      </c>
      <c r="U101" s="42" t="s">
        <v>19</v>
      </c>
      <c r="V101" s="42" t="s">
        <v>19</v>
      </c>
      <c r="W101" s="42" t="s">
        <v>19</v>
      </c>
      <c r="X101" s="42" t="s">
        <v>75</v>
      </c>
    </row>
    <row r="102" spans="1:24">
      <c r="A102" s="42" t="s">
        <v>698</v>
      </c>
      <c r="B102" s="43" t="s">
        <v>880</v>
      </c>
      <c r="C102" s="42" t="s">
        <v>1177</v>
      </c>
      <c r="D102" s="42" t="s">
        <v>20</v>
      </c>
      <c r="E102" s="43" t="s">
        <v>732</v>
      </c>
      <c r="F102" s="44" t="s">
        <v>744</v>
      </c>
      <c r="G102" s="43"/>
      <c r="H102" s="43"/>
      <c r="I102" s="43"/>
      <c r="J102" s="42" t="s">
        <v>1410</v>
      </c>
      <c r="K102" s="43" t="str">
        <f>VLOOKUP(C102,'[1]뷰프레임 전체_상세'!$B:$E,4,0)</f>
        <v>F-285S-466KGGS2R5</v>
      </c>
      <c r="L102" s="52" t="str">
        <f>IF(M102&lt;=0.9,HYPERLINK("http://www.lxhausys.co.kr/popup/rn/download/downloadPopup.jsp?from=plwindow&amp;uu=/upload/window/REPORT/LXH-EA24-106 F-285S-466KGGS2R5.pdf","1등급"),IF(M102&lt;=1.2,HYPERLINK("http://www.lxhausys.co.kr/popup/rn/download/downloadPopup.jsp?from=plwindow&amp;uu=/upload/window/REPORT/LXH-EA24-106 F-285S-466KGGS2R5.pdf","2등급"),IF(M102&lt;=1.8,HYPERLINK("http://www.lxhausys.co.kr/popup/rn/download/downloadPopup.jsp?from=plwindow&amp;uu=/upload/window/REPORT/LXH-EA24-106 F-285S-466KGGS2R5.pdf","3등급"),IF(M102&lt;=2.3,HYPERLINK("http://www.lxhausys.co.kr/popup/rn/download/downloadPopup.jsp?from=plwindow&amp;uu=/upload/window/REPORT/LXH-EA24-106 F-285S-466KGGS2R5.pdf","4등급"),IF(M102&lt;=2.8,HYPERLINK("http://www.lxhausys.co.kr/popup/rn/download/downloadPopup.jsp?from=plwindow&amp;uu=/upload/window/REPORT/LXH-EA24-106 F-285S-466KGGS2R5.pdf","5등급"),HYPERLINK("http://www.lxhausys.co.kr/popup/rn/download/downloadPopup.jsp?from=plwindow&amp;uu=/upload/window/REPORT/LXH-TW22-015 S-124-222FFGL1R105.pdf","등급외"))))))</f>
        <v>1등급</v>
      </c>
      <c r="M102" s="45">
        <v>0.59799999999999998</v>
      </c>
      <c r="N102" s="45">
        <v>0.76</v>
      </c>
      <c r="O102" s="42" t="s">
        <v>19</v>
      </c>
      <c r="P102" s="42" t="s">
        <v>22</v>
      </c>
      <c r="Q102" s="42" t="s">
        <v>19</v>
      </c>
      <c r="R102" s="42" t="s">
        <v>19</v>
      </c>
      <c r="S102" s="42" t="s">
        <v>19</v>
      </c>
      <c r="T102" s="42" t="s">
        <v>19</v>
      </c>
      <c r="U102" s="42" t="s">
        <v>19</v>
      </c>
      <c r="V102" s="42" t="s">
        <v>19</v>
      </c>
      <c r="W102" s="42" t="s">
        <v>19</v>
      </c>
      <c r="X102" s="42" t="s">
        <v>75</v>
      </c>
    </row>
    <row r="103" spans="1:24">
      <c r="A103" s="42" t="s">
        <v>697</v>
      </c>
      <c r="B103" s="43" t="s">
        <v>881</v>
      </c>
      <c r="C103" s="42" t="s">
        <v>1178</v>
      </c>
      <c r="D103" s="42" t="s">
        <v>20</v>
      </c>
      <c r="E103" s="43" t="s">
        <v>733</v>
      </c>
      <c r="F103" s="44" t="s">
        <v>745</v>
      </c>
      <c r="G103" s="43"/>
      <c r="H103" s="43"/>
      <c r="I103" s="43"/>
      <c r="J103" s="42" t="s">
        <v>1410</v>
      </c>
      <c r="K103" s="43" t="str">
        <f>VLOOKUP(C103,'[1]뷰프레임 전체_상세'!$B:$E,4,0)</f>
        <v>F-265S-488KGGS2R5</v>
      </c>
      <c r="L103" s="52" t="str">
        <f>IF(M103&lt;=0.9,HYPERLINK("http://www.lxhausys.co.kr/popup/rn/download/downloadPopup.jsp?from=plwindow&amp;uu=/upload/window/REPORT/LXH-EA24-107 F-265S-488KGGS2R5.pdf","1등급"),IF(M103&lt;=1.2,HYPERLINK("http://www.lxhausys.co.kr/popup/rn/download/downloadPopup.jsp?from=plwindow&amp;uu=/upload/window/REPORT/LXH-EA24-107 F-265S-488KGGS2R5.pdf","2등급"),IF(M103&lt;=1.8,HYPERLINK("http://www.lxhausys.co.kr/popup/rn/download/downloadPopup.jsp?from=plwindow&amp;uu=/upload/window/REPORT/LXH-EA24-107 F-265S-488KGGS2R5.pdf","3등급"),IF(M103&lt;=2.3,HYPERLINK("http://www.lxhausys.co.kr/popup/rn/download/downloadPopup.jsp?from=plwindow&amp;uu=/upload/window/REPORT/LXH-EA24-107 F-265S-488KGGS2R5.pdf","4등급"),IF(M103&lt;=2.8,HYPERLINK("http://www.lxhausys.co.kr/popup/rn/download/downloadPopup.jsp?from=plwindow&amp;uu=/upload/window/REPORT/LXH-EA24-107 F-265S-488KGGS2R5.pdf","5등급"),HYPERLINK("http://www.lxhausys.co.kr/popup/rn/download/downloadPopup.jsp?from=plwindow&amp;uu=/upload/window/REPORT/LXH-TW22-015 S-124-222FFGL1R106.pdf","등급외"))))))</f>
        <v>1등급</v>
      </c>
      <c r="M103" s="45">
        <v>0.57599999999999996</v>
      </c>
      <c r="N103" s="45">
        <v>0.84</v>
      </c>
      <c r="O103" s="42" t="s">
        <v>19</v>
      </c>
      <c r="P103" s="42" t="s">
        <v>22</v>
      </c>
      <c r="Q103" s="42" t="s">
        <v>19</v>
      </c>
      <c r="R103" s="42" t="s">
        <v>19</v>
      </c>
      <c r="S103" s="42" t="s">
        <v>19</v>
      </c>
      <c r="T103" s="42" t="s">
        <v>19</v>
      </c>
      <c r="U103" s="42" t="s">
        <v>19</v>
      </c>
      <c r="V103" s="42" t="s">
        <v>19</v>
      </c>
      <c r="W103" s="42" t="s">
        <v>19</v>
      </c>
      <c r="X103" s="42" t="s">
        <v>75</v>
      </c>
    </row>
    <row r="104" spans="1:24">
      <c r="A104" s="42" t="s">
        <v>672</v>
      </c>
      <c r="B104" s="43" t="s">
        <v>882</v>
      </c>
      <c r="C104" s="42" t="s">
        <v>1179</v>
      </c>
      <c r="D104" s="42" t="s">
        <v>20</v>
      </c>
      <c r="E104" s="43" t="s">
        <v>713</v>
      </c>
      <c r="F104" s="44"/>
      <c r="G104" s="43"/>
      <c r="H104" s="43"/>
      <c r="I104" s="43"/>
      <c r="J104" s="42" t="s">
        <v>1410</v>
      </c>
      <c r="K104" s="43" t="str">
        <f>VLOOKUP(C104,'[1]뷰프레임 전체_상세'!$B:$E,4,0)</f>
        <v>F-140-226FFGG1A5</v>
      </c>
      <c r="L104" s="52" t="str">
        <f>IF(M104&lt;=0.9,HYPERLINK("http://www.lxhausys.co.kr/popup/rn/download/downloadPopup.jsp?from=plwindow&amp;uu=/upload/window/REPORT/LXH-EA24-108 F-140-226FFGG1A5.pdf","1등급"),IF(M104&lt;=1.2,HYPERLINK("http://www.lxhausys.co.kr/popup/rn/download/downloadPopup.jsp?from=plwindow&amp;uu=/upload/window/REPORT/LXH-EA24-108 F-140-226FFGG1A5.pdf","2등급"),IF(M104&lt;=1.8,HYPERLINK("http://www.lxhausys.co.kr/popup/rn/download/downloadPopup.jsp?from=plwindow&amp;uu=/upload/window/REPORT/LXH-EA24-108 F-140-226FFGG1A5.pdf","3등급"),IF(M104&lt;=2.3,HYPERLINK("http://www.lxhausys.co.kr/popup/rn/download/downloadPopup.jsp?from=plwindow&amp;uu=/upload/window/REPORT/LXH-EA24-108 F-140-226FFGG1A5.pdf","4등급"),IF(M104&lt;=2.8,HYPERLINK("http://www.lxhausys.co.kr/popup/rn/download/downloadPopup.jsp?from=plwindow&amp;uu=/upload/window/REPORT/LXH-EA24-108 F-140-226FFGG1A5.pdf","5등급"),HYPERLINK("http://www.lxhausys.co.kr/popup/rn/download/downloadPopup.jsp?from=plwindow&amp;uu=/upload/window/REPORT/LXH-TW22-015 S-124-222FFGL1R107.pdf","등급외"))))))</f>
        <v>5등급</v>
      </c>
      <c r="M104" s="45">
        <v>2.65</v>
      </c>
      <c r="N104" s="45">
        <v>1.36</v>
      </c>
      <c r="O104" s="42" t="s">
        <v>19</v>
      </c>
      <c r="P104" s="42" t="s">
        <v>103</v>
      </c>
      <c r="Q104" s="42" t="s">
        <v>19</v>
      </c>
      <c r="R104" s="42" t="s">
        <v>19</v>
      </c>
      <c r="S104" s="42" t="s">
        <v>19</v>
      </c>
      <c r="T104" s="42" t="s">
        <v>19</v>
      </c>
      <c r="U104" s="42" t="s">
        <v>19</v>
      </c>
      <c r="V104" s="42" t="s">
        <v>19</v>
      </c>
      <c r="W104" s="42" t="s">
        <v>19</v>
      </c>
      <c r="X104" s="42" t="s">
        <v>75</v>
      </c>
    </row>
    <row r="105" spans="1:24">
      <c r="A105" s="42" t="s">
        <v>672</v>
      </c>
      <c r="B105" s="43" t="s">
        <v>883</v>
      </c>
      <c r="C105" s="42" t="s">
        <v>1180</v>
      </c>
      <c r="D105" s="42" t="s">
        <v>20</v>
      </c>
      <c r="E105" s="43" t="s">
        <v>1075</v>
      </c>
      <c r="F105" s="44"/>
      <c r="G105" s="43"/>
      <c r="H105" s="43"/>
      <c r="I105" s="43"/>
      <c r="J105" s="42" t="s">
        <v>1410</v>
      </c>
      <c r="K105" s="43" t="str">
        <f>VLOOKUP(C105,'[1]뷰프레임 전체_상세'!$B:$E,4,0)</f>
        <v>F-140-228FFGS1R5</v>
      </c>
      <c r="L105" s="52" t="str">
        <f>IF(M105&lt;=0.9,HYPERLINK("http://www.lxhausys.co.kr/popup/rn/download/downloadPopup.jsp?from=plwindow&amp;uu=/upload/window/REPORT/LXH-EA24-109 F-140-228FFGS1R5.pdf","1등급"),IF(M105&lt;=1.2,HYPERLINK("http://www.lxhausys.co.kr/popup/rn/download/downloadPopup.jsp?from=plwindow&amp;uu=/upload/window/REPORT/LXH-EA24-109 F-140-228FFGS1R5.pdf","2등급"),IF(M105&lt;=1.8,HYPERLINK("http://www.lxhausys.co.kr/popup/rn/download/downloadPopup.jsp?from=plwindow&amp;uu=/upload/window/REPORT/LXH-EA24-109 F-140-228FFGS1R5.pdf","3등급"),IF(M105&lt;=2.3,HYPERLINK("http://www.lxhausys.co.kr/popup/rn/download/downloadPopup.jsp?from=plwindow&amp;uu=/upload/window/REPORT/LXH-EA24-109 F-140-228FFGS1R5.pdf","4등급"),IF(M105&lt;=2.8,HYPERLINK("http://www.lxhausys.co.kr/popup/rn/download/downloadPopup.jsp?from=plwindow&amp;uu=/upload/window/REPORT/LXH-EA24-109 F-140-228FFGS1R5.pdf","5등급"),HYPERLINK("http://www.lxhausys.co.kr/popup/rn/download/downloadPopup.jsp?from=plwindow&amp;uu=/upload/window/REPORT/LXH-TW22-015 S-124-222FFGL1R108.pdf","등급외"))))))</f>
        <v>3등급</v>
      </c>
      <c r="M105" s="45">
        <v>1.655</v>
      </c>
      <c r="N105" s="45">
        <v>1.35</v>
      </c>
      <c r="O105" s="42" t="s">
        <v>19</v>
      </c>
      <c r="P105" s="42" t="s">
        <v>103</v>
      </c>
      <c r="Q105" s="42" t="s">
        <v>19</v>
      </c>
      <c r="R105" s="42" t="s">
        <v>19</v>
      </c>
      <c r="S105" s="42" t="s">
        <v>19</v>
      </c>
      <c r="T105" s="42" t="s">
        <v>19</v>
      </c>
      <c r="U105" s="42" t="s">
        <v>19</v>
      </c>
      <c r="V105" s="42" t="s">
        <v>19</v>
      </c>
      <c r="W105" s="42" t="s">
        <v>19</v>
      </c>
      <c r="X105" s="42" t="s">
        <v>75</v>
      </c>
    </row>
    <row r="106" spans="1:24">
      <c r="A106" s="42" t="s">
        <v>672</v>
      </c>
      <c r="B106" s="43" t="s">
        <v>884</v>
      </c>
      <c r="C106" s="42" t="s">
        <v>1181</v>
      </c>
      <c r="D106" s="42" t="s">
        <v>20</v>
      </c>
      <c r="E106" s="43" t="s">
        <v>726</v>
      </c>
      <c r="F106" s="44"/>
      <c r="G106" s="43"/>
      <c r="H106" s="43"/>
      <c r="I106" s="43"/>
      <c r="J106" s="42" t="s">
        <v>1410</v>
      </c>
      <c r="K106" s="43" t="str">
        <f>VLOOKUP(C106,'[1]뷰프레임 전체_상세'!$B:$E,4,0)</f>
        <v>F-140-228FFKG1A5</v>
      </c>
      <c r="L106" s="52" t="str">
        <f>IF(M106&lt;=0.9,HYPERLINK("http://www.lxhausys.co.kr/popup/rn/download/downloadPopup.jsp?from=plwindow&amp;uu=/upload/window/REPORT/LXH-EA24-110 F-140-228FFKG1A5.pdf","1등급"),IF(M106&lt;=1.2,HYPERLINK("http://www.lxhausys.co.kr/popup/rn/download/downloadPopup.jsp?from=plwindow&amp;uu=/upload/window/REPORT/LXH-EA24-110 F-140-228FFKG1A5.pdf","2등급"),IF(M106&lt;=1.8,HYPERLINK("http://www.lxhausys.co.kr/popup/rn/download/downloadPopup.jsp?from=plwindow&amp;uu=/upload/window/REPORT/LXH-EA24-110 F-140-228FFKG1A5.pdf","3등급"),IF(M106&lt;=2.3,HYPERLINK("http://www.lxhausys.co.kr/popup/rn/download/downloadPopup.jsp?from=plwindow&amp;uu=/upload/window/REPORT/LXH-EA24-110 F-140-228FFKG1A5.pdf","4등급"),IF(M106&lt;=2.8,HYPERLINK("http://www.lxhausys.co.kr/popup/rn/download/downloadPopup.jsp?from=plwindow&amp;uu=/upload/window/REPORT/LXH-EA24-110 F-140-228FFKG1A5.pdf","5등급"),HYPERLINK("http://www.lxhausys.co.kr/popup/rn/download/downloadPopup.jsp?from=plwindow&amp;uu=/upload/window/REPORT/LXH-TW22-015 S-124-222FFGL1R109.pdf","등급외"))))))</f>
        <v>4등급</v>
      </c>
      <c r="M106" s="45">
        <v>1.8149999999999999</v>
      </c>
      <c r="N106" s="45">
        <v>1.31</v>
      </c>
      <c r="O106" s="42" t="s">
        <v>19</v>
      </c>
      <c r="P106" s="42" t="s">
        <v>103</v>
      </c>
      <c r="Q106" s="42" t="s">
        <v>19</v>
      </c>
      <c r="R106" s="42" t="s">
        <v>19</v>
      </c>
      <c r="S106" s="42" t="s">
        <v>19</v>
      </c>
      <c r="T106" s="42" t="s">
        <v>19</v>
      </c>
      <c r="U106" s="42" t="s">
        <v>19</v>
      </c>
      <c r="V106" s="42" t="s">
        <v>19</v>
      </c>
      <c r="W106" s="42" t="s">
        <v>19</v>
      </c>
      <c r="X106" s="42" t="s">
        <v>75</v>
      </c>
    </row>
    <row r="107" spans="1:24">
      <c r="A107" s="42" t="s">
        <v>672</v>
      </c>
      <c r="B107" s="43" t="s">
        <v>885</v>
      </c>
      <c r="C107" s="42" t="s">
        <v>1182</v>
      </c>
      <c r="D107" s="42" t="s">
        <v>20</v>
      </c>
      <c r="E107" s="43" t="s">
        <v>1073</v>
      </c>
      <c r="F107" s="44"/>
      <c r="G107" s="43"/>
      <c r="H107" s="43"/>
      <c r="I107" s="43"/>
      <c r="J107" s="42" t="s">
        <v>1410</v>
      </c>
      <c r="K107" s="43" t="str">
        <f>VLOOKUP(C107,'[1]뷰프레임 전체_상세'!$B:$E,4,0)</f>
        <v>F-140-224FFGS1R5</v>
      </c>
      <c r="L107" s="52" t="str">
        <f>IF(M107&lt;=0.9,HYPERLINK("http://www.lxhausys.co.kr/popup/rn/download/downloadPopup.jsp?from=plwindow&amp;uu=/upload/window/REPORT/LXH-EA24-111 F-140-224FFGS1R5.pdf","1등급"),IF(M107&lt;=1.2,HYPERLINK("http://www.lxhausys.co.kr/popup/rn/download/downloadPopup.jsp?from=plwindow&amp;uu=/upload/window/REPORT/LXH-EA24-111 F-140-224FFGS1R5.pdf","2등급"),IF(M107&lt;=1.8,HYPERLINK("http://www.lxhausys.co.kr/popup/rn/download/downloadPopup.jsp?from=plwindow&amp;uu=/upload/window/REPORT/LXH-EA24-111 F-140-224FFGS1R5.pdf","3등급"),IF(M107&lt;=2.3,HYPERLINK("http://www.lxhausys.co.kr/popup/rn/download/downloadPopup.jsp?from=plwindow&amp;uu=/upload/window/REPORT/LXH-EA24-111 F-140-224FFGS1R5.pdf","4등급"),IF(M107&lt;=2.8,HYPERLINK("http://www.lxhausys.co.kr/popup/rn/download/downloadPopup.jsp?from=plwindow&amp;uu=/upload/window/REPORT/LXH-EA24-111 F-140-224FFGS1R5.pdf","5등급"),HYPERLINK("http://www.lxhausys.co.kr/popup/rn/download/downloadPopup.jsp?from=plwindow&amp;uu=/upload/window/REPORT/LXH-TW22-015 S-124-222FFGL1R110.pdf","등급외"))))))</f>
        <v>3등급</v>
      </c>
      <c r="M107" s="45">
        <v>1.663</v>
      </c>
      <c r="N107" s="45">
        <v>1.43</v>
      </c>
      <c r="O107" s="42" t="s">
        <v>19</v>
      </c>
      <c r="P107" s="42" t="s">
        <v>103</v>
      </c>
      <c r="Q107" s="42" t="s">
        <v>19</v>
      </c>
      <c r="R107" s="42" t="s">
        <v>19</v>
      </c>
      <c r="S107" s="42" t="s">
        <v>19</v>
      </c>
      <c r="T107" s="42" t="s">
        <v>19</v>
      </c>
      <c r="U107" s="42" t="s">
        <v>19</v>
      </c>
      <c r="V107" s="42" t="s">
        <v>19</v>
      </c>
      <c r="W107" s="42" t="s">
        <v>19</v>
      </c>
      <c r="X107" s="42" t="s">
        <v>75</v>
      </c>
    </row>
    <row r="108" spans="1:24">
      <c r="A108" s="42" t="s">
        <v>672</v>
      </c>
      <c r="B108" s="43" t="s">
        <v>886</v>
      </c>
      <c r="C108" s="42" t="s">
        <v>1183</v>
      </c>
      <c r="D108" s="42" t="s">
        <v>20</v>
      </c>
      <c r="E108" s="43" t="s">
        <v>1072</v>
      </c>
      <c r="F108" s="44"/>
      <c r="G108" s="43"/>
      <c r="H108" s="43"/>
      <c r="I108" s="43"/>
      <c r="J108" s="42" t="s">
        <v>1410</v>
      </c>
      <c r="K108" s="43" t="str">
        <f>VLOOKUP(C108,'[1]뷰프레임 전체_상세'!$B:$E,4,0)</f>
        <v>F-140-228FFGS1A5</v>
      </c>
      <c r="L108" s="52" t="str">
        <f>IF(M108&lt;=0.9,HYPERLINK("http://www.lxhausys.co.kr/popup/rn/download/downloadPopup.jsp?from=plwindow&amp;uu=/upload/window/REPORT/LXH-EA24-112 F-140-228FFGS1A5.pdf","1등급"),IF(M108&lt;=1.2,HYPERLINK("http://www.lxhausys.co.kr/popup/rn/download/downloadPopup.jsp?from=plwindow&amp;uu=/upload/window/REPORT/LXH-EA24-112 F-140-228FFGS1A5.pdf","2등급"),IF(M108&lt;=1.8,HYPERLINK("http://www.lxhausys.co.kr/popup/rn/download/downloadPopup.jsp?from=plwindow&amp;uu=/upload/window/REPORT/LXH-EA24-112 F-140-228FFGS1A5.pdf","3등급"),IF(M108&lt;=2.3,HYPERLINK("http://www.lxhausys.co.kr/popup/rn/download/downloadPopup.jsp?from=plwindow&amp;uu=/upload/window/REPORT/LXH-EA24-112 F-140-228FFGS1A5.pdf","4등급"),IF(M108&lt;=2.8,HYPERLINK("http://www.lxhausys.co.kr/popup/rn/download/downloadPopup.jsp?from=plwindow&amp;uu=/upload/window/REPORT/LXH-EA24-112 F-140-228FFGS1A5.pdf","5등급"),HYPERLINK("http://www.lxhausys.co.kr/popup/rn/download/downloadPopup.jsp?from=plwindow&amp;uu=/upload/window/REPORT/LXH-TW22-015 S-124-222FFGL1R111.pdf","등급외"))))))</f>
        <v>4등급</v>
      </c>
      <c r="M108" s="45">
        <v>1.8380000000000001</v>
      </c>
      <c r="N108" s="45">
        <v>1.46</v>
      </c>
      <c r="O108" s="42"/>
      <c r="P108" s="42" t="s">
        <v>103</v>
      </c>
      <c r="Q108" s="42" t="s">
        <v>19</v>
      </c>
      <c r="R108" s="42" t="s">
        <v>19</v>
      </c>
      <c r="S108" s="42" t="s">
        <v>19</v>
      </c>
      <c r="T108" s="42" t="s">
        <v>19</v>
      </c>
      <c r="U108" s="42" t="s">
        <v>19</v>
      </c>
      <c r="V108" s="42" t="s">
        <v>19</v>
      </c>
      <c r="W108" s="42" t="s">
        <v>19</v>
      </c>
      <c r="X108" s="42" t="s">
        <v>75</v>
      </c>
    </row>
    <row r="109" spans="1:24">
      <c r="A109" s="42" t="s">
        <v>698</v>
      </c>
      <c r="B109" s="43" t="s">
        <v>887</v>
      </c>
      <c r="C109" s="42" t="s">
        <v>1184</v>
      </c>
      <c r="D109" s="42" t="s">
        <v>20</v>
      </c>
      <c r="E109" s="43" t="s">
        <v>733</v>
      </c>
      <c r="F109" s="44" t="s">
        <v>745</v>
      </c>
      <c r="G109" s="43"/>
      <c r="H109" s="43"/>
      <c r="I109" s="43"/>
      <c r="J109" s="42" t="s">
        <v>1410</v>
      </c>
      <c r="K109" s="43" t="str">
        <f>VLOOKUP(C109,'[1]뷰프레임 전체_상세'!$B:$E,4,0)</f>
        <v>F-285S-488KGGS2R5</v>
      </c>
      <c r="L109" s="52" t="str">
        <f>IF(M109&lt;=0.9,HYPERLINK("http://www.lxhausys.co.kr/popup/rn/download/downloadPopup.jsp?from=plwindow&amp;uu=/upload/window/REPORT/LXH-EA24-113 F-285S-488KGGS2R5.pdf","1등급"),IF(M109&lt;=1.2,HYPERLINK("http://www.lxhausys.co.kr/popup/rn/download/downloadPopup.jsp?from=plwindow&amp;uu=/upload/window/REPORT/LXH-EA24-113 F-285S-488KGGS2R5.pdf","2등급"),IF(M109&lt;=1.8,HYPERLINK("http://www.lxhausys.co.kr/popup/rn/download/downloadPopup.jsp?from=plwindow&amp;uu=/upload/window/REPORT/LXH-EA24-113 F-285S-488KGGS2R5.pdf","3등급"),IF(M109&lt;=2.3,HYPERLINK("http://www.lxhausys.co.kr/popup/rn/download/downloadPopup.jsp?from=plwindow&amp;uu=/upload/window/REPORT/LXH-EA24-113 F-285S-488KGGS2R5.pdf","4등급"),IF(M109&lt;=2.8,HYPERLINK("http://www.lxhausys.co.kr/popup/rn/download/downloadPopup.jsp?from=plwindow&amp;uu=/upload/window/REPORT/LXH-EA24-113 F-285S-488KGGS2R5.pdf","5등급"),HYPERLINK("http://www.lxhausys.co.kr/popup/rn/download/downloadPopup.jsp?from=plwindow&amp;uu=/upload/window/REPORT/LXH-TW22-015 S-124-222FFGL1R112.pdf","등급외"))))))</f>
        <v>1등급</v>
      </c>
      <c r="M109" s="45">
        <v>0.56799999999999995</v>
      </c>
      <c r="N109" s="45">
        <v>0.83</v>
      </c>
      <c r="O109" s="42"/>
      <c r="P109" s="42" t="s">
        <v>22</v>
      </c>
      <c r="Q109" s="42" t="s">
        <v>19</v>
      </c>
      <c r="R109" s="42" t="s">
        <v>19</v>
      </c>
      <c r="S109" s="42" t="s">
        <v>19</v>
      </c>
      <c r="T109" s="42" t="s">
        <v>19</v>
      </c>
      <c r="U109" s="42" t="s">
        <v>19</v>
      </c>
      <c r="V109" s="42" t="s">
        <v>19</v>
      </c>
      <c r="W109" s="42" t="s">
        <v>19</v>
      </c>
      <c r="X109" s="42" t="s">
        <v>75</v>
      </c>
    </row>
    <row r="110" spans="1:24">
      <c r="A110" s="42" t="s">
        <v>673</v>
      </c>
      <c r="B110" s="43" t="s">
        <v>888</v>
      </c>
      <c r="C110" s="42" t="s">
        <v>1185</v>
      </c>
      <c r="D110" s="42" t="s">
        <v>20</v>
      </c>
      <c r="E110" s="43" t="s">
        <v>1075</v>
      </c>
      <c r="F110" s="44"/>
      <c r="G110" s="43"/>
      <c r="H110" s="43"/>
      <c r="I110" s="43"/>
      <c r="J110" s="42" t="s">
        <v>1410</v>
      </c>
      <c r="K110" s="43" t="str">
        <f>VLOOKUP(C110,'[1]뷰프레임 전체_상세'!$B:$E,4,0)</f>
        <v>F-145-228FFGS1R5</v>
      </c>
      <c r="L110" s="52" t="str">
        <f>IF(M110&lt;=0.9,HYPERLINK("http://www.lxhausys.co.kr/popup/rn/download/downloadPopup.jsp?from=plwindow&amp;uu=/upload/window/REPORT/LXH-EA24-114 F-145-228FFGS1R5.pdf","1등급"),IF(M110&lt;=1.2,HYPERLINK("http://www.lxhausys.co.kr/popup/rn/download/downloadPopup.jsp?from=plwindow&amp;uu=/upload/window/REPORT/LXH-EA24-114 F-145-228FFGS1R5.pdf","2등급"),IF(M110&lt;=1.8,HYPERLINK("http://www.lxhausys.co.kr/popup/rn/download/downloadPopup.jsp?from=plwindow&amp;uu=/upload/window/REPORT/LXH-EA24-114 F-145-228FFGS1R5.pdf","3등급"),IF(M110&lt;=2.3,HYPERLINK("http://www.lxhausys.co.kr/popup/rn/download/downloadPopup.jsp?from=plwindow&amp;uu=/upload/window/REPORT/LXH-EA24-114 F-145-228FFGS1R5.pdf","4등급"),IF(M110&lt;=2.8,HYPERLINK("http://www.lxhausys.co.kr/popup/rn/download/downloadPopup.jsp?from=plwindow&amp;uu=/upload/window/REPORT/LXH-EA24-114 F-145-228FFGS1R5.pdf","5등급"),HYPERLINK("http://www.lxhausys.co.kr/popup/rn/download/downloadPopup.jsp?from=plwindow&amp;uu=/upload/window/REPORT/LXH-TW22-015 S-124-222FFGL1R113.pdf","등급외"))))))</f>
        <v>3등급</v>
      </c>
      <c r="M110" s="45">
        <v>1.64</v>
      </c>
      <c r="N110" s="45">
        <v>1.53</v>
      </c>
      <c r="O110" s="42"/>
      <c r="P110" s="42" t="s">
        <v>103</v>
      </c>
      <c r="Q110" s="42" t="s">
        <v>19</v>
      </c>
      <c r="R110" s="42" t="s">
        <v>19</v>
      </c>
      <c r="S110" s="42" t="s">
        <v>19</v>
      </c>
      <c r="T110" s="42" t="s">
        <v>19</v>
      </c>
      <c r="U110" s="42" t="s">
        <v>19</v>
      </c>
      <c r="V110" s="42" t="s">
        <v>19</v>
      </c>
      <c r="W110" s="42" t="s">
        <v>19</v>
      </c>
      <c r="X110" s="42" t="s">
        <v>75</v>
      </c>
    </row>
    <row r="111" spans="1:24">
      <c r="A111" s="42" t="s">
        <v>673</v>
      </c>
      <c r="B111" s="43" t="s">
        <v>889</v>
      </c>
      <c r="C111" s="42" t="s">
        <v>1186</v>
      </c>
      <c r="D111" s="42" t="s">
        <v>20</v>
      </c>
      <c r="E111" s="43" t="s">
        <v>1073</v>
      </c>
      <c r="F111" s="44"/>
      <c r="G111" s="43"/>
      <c r="H111" s="43"/>
      <c r="I111" s="43"/>
      <c r="J111" s="42" t="s">
        <v>1410</v>
      </c>
      <c r="K111" s="43" t="str">
        <f>VLOOKUP(C111,'[1]뷰프레임 전체_상세'!$B:$E,4,0)</f>
        <v>F-145-224FFGS1R5</v>
      </c>
      <c r="L111" s="52" t="str">
        <f>IF(M111&lt;=0.9,HYPERLINK("http://www.lxhausys.co.kr/popup/rn/download/downloadPopup.jsp?from=plwindow&amp;uu=/upload/window/REPORT/LXH-EA24-115 F-145-224FFGS1R5.pdf","1등급"),IF(M111&lt;=1.2,HYPERLINK("http://www.lxhausys.co.kr/popup/rn/download/downloadPopup.jsp?from=plwindow&amp;uu=/upload/window/REPORT/LXH-EA24-115 F-145-224FFGS1R5.pdf","2등급"),IF(M111&lt;=1.8,HYPERLINK("http://www.lxhausys.co.kr/popup/rn/download/downloadPopup.jsp?from=plwindow&amp;uu=/upload/window/REPORT/LXH-EA24-115 F-145-224FFGS1R5.pdf","3등급"),IF(M111&lt;=2.3,HYPERLINK("http://www.lxhausys.co.kr/popup/rn/download/downloadPopup.jsp?from=plwindow&amp;uu=/upload/window/REPORT/LXH-EA24-115 F-145-224FFGS1R5.pdf","4등급"),IF(M111&lt;=2.8,HYPERLINK("http://www.lxhausys.co.kr/popup/rn/download/downloadPopup.jsp?from=plwindow&amp;uu=/upload/window/REPORT/LXH-EA24-115 F-145-224FFGS1R5.pdf","5등급"),HYPERLINK("http://www.lxhausys.co.kr/popup/rn/download/downloadPopup.jsp?from=plwindow&amp;uu=/upload/window/REPORT/LXH-TW22-015 S-124-222FFGL1R114.pdf","등급외"))))))</f>
        <v>3등급</v>
      </c>
      <c r="M111" s="45">
        <v>1.665</v>
      </c>
      <c r="N111" s="45">
        <v>1.55</v>
      </c>
      <c r="O111" s="42"/>
      <c r="P111" s="42" t="s">
        <v>103</v>
      </c>
      <c r="Q111" s="42" t="s">
        <v>19</v>
      </c>
      <c r="R111" s="42" t="s">
        <v>19</v>
      </c>
      <c r="S111" s="42" t="s">
        <v>19</v>
      </c>
      <c r="T111" s="42" t="s">
        <v>19</v>
      </c>
      <c r="U111" s="42" t="s">
        <v>19</v>
      </c>
      <c r="V111" s="42" t="s">
        <v>19</v>
      </c>
      <c r="W111" s="42" t="s">
        <v>19</v>
      </c>
      <c r="X111" s="42" t="s">
        <v>75</v>
      </c>
    </row>
    <row r="112" spans="1:24">
      <c r="A112" s="42" t="s">
        <v>678</v>
      </c>
      <c r="B112" s="43" t="s">
        <v>890</v>
      </c>
      <c r="C112" s="42" t="s">
        <v>1187</v>
      </c>
      <c r="D112" s="42" t="s">
        <v>20</v>
      </c>
      <c r="E112" s="43" t="s">
        <v>725</v>
      </c>
      <c r="F112" s="44"/>
      <c r="G112" s="43"/>
      <c r="H112" s="43"/>
      <c r="I112" s="43"/>
      <c r="J112" s="42" t="s">
        <v>1410</v>
      </c>
      <c r="K112" s="43" t="str">
        <f>VLOOKUP(C112,'[1]뷰프레임 전체_상세'!$B:$E,4,0)</f>
        <v>F-140S-228FFKG1R5</v>
      </c>
      <c r="L112" s="52" t="str">
        <f>IF(M112&lt;=0.9,HYPERLINK("http://www.lxhausys.co.kr/popup/rn/download/downloadPopup.jsp?from=plwindow&amp;uu=/upload/window/REPORT/LXH-EA24-116 F-140S-228FFKG1R5.pdf","1등급"),IF(M112&lt;=1.2,HYPERLINK("http://www.lxhausys.co.kr/popup/rn/download/downloadPopup.jsp?from=plwindow&amp;uu=/upload/window/REPORT/LXH-EA24-116 F-140S-228FFKG1R5.pdf","2등급"),IF(M112&lt;=1.8,HYPERLINK("http://www.lxhausys.co.kr/popup/rn/download/downloadPopup.jsp?from=plwindow&amp;uu=/upload/window/REPORT/LXH-EA24-116 F-140S-228FFKG1R5.pdf","3등급"),IF(M112&lt;=2.3,HYPERLINK("http://www.lxhausys.co.kr/popup/rn/download/downloadPopup.jsp?from=plwindow&amp;uu=/upload/window/REPORT/LXH-EA24-116 F-140S-228FFKG1R5.pdf","4등급"),IF(M112&lt;=2.8,HYPERLINK("http://www.lxhausys.co.kr/popup/rn/download/downloadPopup.jsp?from=plwindow&amp;uu=/upload/window/REPORT/LXH-EA24-116 F-140S-228FFKG1R5.pdf","5등급"),HYPERLINK("http://www.lxhausys.co.kr/popup/rn/download/downloadPopup.jsp?from=plwindow&amp;uu=/upload/window/REPORT/LXH-TW22-015 S-124-222FFGL1R115.pdf","등급외"))))))</f>
        <v>3등급</v>
      </c>
      <c r="M112" s="45">
        <v>1.671</v>
      </c>
      <c r="N112" s="45">
        <v>1.44</v>
      </c>
      <c r="O112" s="42"/>
      <c r="P112" s="42" t="s">
        <v>103</v>
      </c>
      <c r="Q112" s="42" t="s">
        <v>19</v>
      </c>
      <c r="R112" s="42" t="s">
        <v>19</v>
      </c>
      <c r="S112" s="42" t="s">
        <v>19</v>
      </c>
      <c r="T112" s="42" t="s">
        <v>19</v>
      </c>
      <c r="U112" s="42" t="s">
        <v>19</v>
      </c>
      <c r="V112" s="42" t="s">
        <v>19</v>
      </c>
      <c r="W112" s="42" t="s">
        <v>19</v>
      </c>
      <c r="X112" s="42" t="s">
        <v>75</v>
      </c>
    </row>
    <row r="113" spans="1:24">
      <c r="A113" s="42" t="s">
        <v>679</v>
      </c>
      <c r="B113" s="43" t="s">
        <v>891</v>
      </c>
      <c r="C113" s="42" t="s">
        <v>1188</v>
      </c>
      <c r="D113" s="42" t="s">
        <v>20</v>
      </c>
      <c r="E113" s="43" t="s">
        <v>733</v>
      </c>
      <c r="F113" s="44" t="s">
        <v>745</v>
      </c>
      <c r="G113" s="43"/>
      <c r="H113" s="43"/>
      <c r="I113" s="43"/>
      <c r="J113" s="42" t="s">
        <v>1410</v>
      </c>
      <c r="K113" s="43" t="str">
        <f>VLOOKUP(C113,'[1]뷰프레임 전체_상세'!$B:$E,4,0)</f>
        <v>F-250S-488KGGS2R5</v>
      </c>
      <c r="L113" s="52" t="str">
        <f>IF(M113&lt;=0.9,HYPERLINK("http://www.lxhausys.co.kr/popup/rn/download/downloadPopup.jsp?from=plwindow&amp;uu=/upload/window/REPORT/LXH-EA24-117 F-250S-488KGGS2R5.pdf","1등급"),IF(M113&lt;=1.2,HYPERLINK("http://www.lxhausys.co.kr/popup/rn/download/downloadPopup.jsp?from=plwindow&amp;uu=/upload/window/REPORT/LXH-EA24-117 F-250S-488KGGS2R5.pdf","2등급"),IF(M113&lt;=1.8,HYPERLINK("http://www.lxhausys.co.kr/popup/rn/download/downloadPopup.jsp?from=plwindow&amp;uu=/upload/window/REPORT/LXH-EA24-117 F-250S-488KGGS2R5.pdf","3등급"),IF(M113&lt;=2.3,HYPERLINK("http://www.lxhausys.co.kr/popup/rn/download/downloadPopup.jsp?from=plwindow&amp;uu=/upload/window/REPORT/LXH-EA24-117 F-250S-488KGGS2R5.pdf","4등급"),IF(M113&lt;=2.8,HYPERLINK("http://www.lxhausys.co.kr/popup/rn/download/downloadPopup.jsp?from=plwindow&amp;uu=/upload/window/REPORT/LXH-EA24-117 F-250S-488KGGS2R5.pdf","5등급"),HYPERLINK("http://www.lxhausys.co.kr/popup/rn/download/downloadPopup.jsp?from=plwindow&amp;uu=/upload/window/REPORT/LXH-TW22-015 S-124-222FFGL1R116.pdf","등급외"))))))</f>
        <v>1등급</v>
      </c>
      <c r="M113" s="45">
        <v>0.57899999999999996</v>
      </c>
      <c r="N113" s="45">
        <v>0.81</v>
      </c>
      <c r="O113" s="42"/>
      <c r="P113" s="42" t="s">
        <v>22</v>
      </c>
      <c r="Q113" s="42" t="s">
        <v>19</v>
      </c>
      <c r="R113" s="42" t="s">
        <v>19</v>
      </c>
      <c r="S113" s="42" t="s">
        <v>19</v>
      </c>
      <c r="T113" s="42" t="s">
        <v>19</v>
      </c>
      <c r="U113" s="42" t="s">
        <v>19</v>
      </c>
      <c r="V113" s="42" t="s">
        <v>19</v>
      </c>
      <c r="W113" s="42" t="s">
        <v>19</v>
      </c>
      <c r="X113" s="42" t="s">
        <v>75</v>
      </c>
    </row>
    <row r="114" spans="1:24">
      <c r="A114" s="42" t="s">
        <v>678</v>
      </c>
      <c r="B114" s="43" t="s">
        <v>892</v>
      </c>
      <c r="C114" s="42" t="s">
        <v>1189</v>
      </c>
      <c r="D114" s="42" t="s">
        <v>20</v>
      </c>
      <c r="E114" s="43" t="s">
        <v>1075</v>
      </c>
      <c r="F114" s="44"/>
      <c r="G114" s="43"/>
      <c r="H114" s="43"/>
      <c r="I114" s="43"/>
      <c r="J114" s="42" t="s">
        <v>1410</v>
      </c>
      <c r="K114" s="43" t="str">
        <f>VLOOKUP(C114,'[1]뷰프레임 전체_상세'!$B:$E,4,0)</f>
        <v>F-140S-228FFGS1R5</v>
      </c>
      <c r="L114" s="52" t="str">
        <f>IF(M114&lt;=0.9,HYPERLINK("http://www.lxhausys.co.kr/popup/rn/download/downloadPopup.jsp?from=plwindow&amp;uu=/upload/window/REPORT/LXH-EA24-118 F-140S-228FFGS1R5.pdf","1등급"),IF(M114&lt;=1.2,HYPERLINK("http://www.lxhausys.co.kr/popup/rn/download/downloadPopup.jsp?from=plwindow&amp;uu=/upload/window/REPORT/LXH-EA24-118 F-140S-228FFGS1R5.pdf","2등급"),IF(M114&lt;=1.8,HYPERLINK("http://www.lxhausys.co.kr/popup/rn/download/downloadPopup.jsp?from=plwindow&amp;uu=/upload/window/REPORT/LXH-EA24-118 F-140S-228FFGS1R5.pdf","3등급"),IF(M114&lt;=2.3,HYPERLINK("http://www.lxhausys.co.kr/popup/rn/download/downloadPopup.jsp?from=plwindow&amp;uu=/upload/window/REPORT/LXH-EA24-118 F-140S-228FFGS1R5.pdf","4등급"),IF(M114&lt;=2.8,HYPERLINK("http://www.lxhausys.co.kr/popup/rn/download/downloadPopup.jsp?from=plwindow&amp;uu=/upload/window/REPORT/LXH-EA24-118 F-140S-228FFGS1R5.pdf","5등급"),HYPERLINK("http://www.lxhausys.co.kr/popup/rn/download/downloadPopup.jsp?from=plwindow&amp;uu=/upload/window/REPORT/LXH-TW22-015 S-124-222FFGL1R117.pdf","등급외"))))))</f>
        <v>3등급</v>
      </c>
      <c r="M114" s="45">
        <v>1.794</v>
      </c>
      <c r="N114" s="45">
        <v>1.33</v>
      </c>
      <c r="O114" s="42"/>
      <c r="P114" s="42" t="s">
        <v>103</v>
      </c>
      <c r="Q114" s="42" t="s">
        <v>19</v>
      </c>
      <c r="R114" s="42" t="s">
        <v>19</v>
      </c>
      <c r="S114" s="42" t="s">
        <v>19</v>
      </c>
      <c r="T114" s="42" t="s">
        <v>19</v>
      </c>
      <c r="U114" s="42" t="s">
        <v>19</v>
      </c>
      <c r="V114" s="42" t="s">
        <v>19</v>
      </c>
      <c r="W114" s="42" t="s">
        <v>19</v>
      </c>
      <c r="X114" s="42" t="s">
        <v>75</v>
      </c>
    </row>
    <row r="115" spans="1:24">
      <c r="A115" s="42" t="s">
        <v>696</v>
      </c>
      <c r="B115" s="43" t="s">
        <v>893</v>
      </c>
      <c r="C115" s="42" t="s">
        <v>1190</v>
      </c>
      <c r="D115" s="42" t="s">
        <v>20</v>
      </c>
      <c r="E115" s="43" t="s">
        <v>1075</v>
      </c>
      <c r="F115" s="44"/>
      <c r="G115" s="43"/>
      <c r="H115" s="43"/>
      <c r="I115" s="43"/>
      <c r="J115" s="42" t="s">
        <v>1410</v>
      </c>
      <c r="K115" s="43" t="str">
        <f>VLOOKUP(C115,'[1]뷰프레임 전체_상세'!$B:$E,4,0)</f>
        <v>F-145S-228FFGS1R5</v>
      </c>
      <c r="L115" s="52" t="str">
        <f>IF(M115&lt;=0.9,HYPERLINK("http://www.lxhausys.co.kr/popup/rn/download/downloadPopup.jsp?from=plwindow&amp;uu=/upload/window/REPORT/LXH-EA24-119 F-145S-228FFGS1R5.pdf","1등급"),IF(M115&lt;=1.2,HYPERLINK("http://www.lxhausys.co.kr/popup/rn/download/downloadPopup.jsp?from=plwindow&amp;uu=/upload/window/REPORT/LXH-EA24-119 F-145S-228FFGS1R5.pdf","2등급"),IF(M115&lt;=1.8,HYPERLINK("http://www.lxhausys.co.kr/popup/rn/download/downloadPopup.jsp?from=plwindow&amp;uu=/upload/window/REPORT/LXH-EA24-119 F-145S-228FFGS1R5.pdf","3등급"),IF(M115&lt;=2.3,HYPERLINK("http://www.lxhausys.co.kr/popup/rn/download/downloadPopup.jsp?from=plwindow&amp;uu=/upload/window/REPORT/LXH-EA24-119 F-145S-228FFGS1R5.pdf","4등급"),IF(M115&lt;=2.8,HYPERLINK("http://www.lxhausys.co.kr/popup/rn/download/downloadPopup.jsp?from=plwindow&amp;uu=/upload/window/REPORT/LXH-EA24-119 F-145S-228FFGS1R5.pdf","5등급"),HYPERLINK("http://www.lxhausys.co.kr/popup/rn/download/downloadPopup.jsp?from=plwindow&amp;uu=/upload/window/REPORT/LXH-TW22-015 S-124-222FFGL1R118.pdf","등급외"))))))</f>
        <v>3등급</v>
      </c>
      <c r="M115" s="45">
        <v>1.7410000000000001</v>
      </c>
      <c r="N115" s="45">
        <v>1.29</v>
      </c>
      <c r="O115" s="42"/>
      <c r="P115" s="42" t="s">
        <v>103</v>
      </c>
      <c r="Q115" s="42" t="s">
        <v>19</v>
      </c>
      <c r="R115" s="42" t="s">
        <v>19</v>
      </c>
      <c r="S115" s="42" t="s">
        <v>19</v>
      </c>
      <c r="T115" s="42" t="s">
        <v>19</v>
      </c>
      <c r="U115" s="42" t="s">
        <v>19</v>
      </c>
      <c r="V115" s="42" t="s">
        <v>19</v>
      </c>
      <c r="W115" s="42" t="s">
        <v>19</v>
      </c>
      <c r="X115" s="42" t="s">
        <v>75</v>
      </c>
    </row>
    <row r="116" spans="1:24">
      <c r="A116" s="42" t="s">
        <v>678</v>
      </c>
      <c r="B116" s="43" t="s">
        <v>894</v>
      </c>
      <c r="C116" s="42" t="s">
        <v>1191</v>
      </c>
      <c r="D116" s="42" t="s">
        <v>20</v>
      </c>
      <c r="E116" s="43" t="s">
        <v>713</v>
      </c>
      <c r="F116" s="44"/>
      <c r="G116" s="43"/>
      <c r="H116" s="43"/>
      <c r="I116" s="43"/>
      <c r="J116" s="42" t="s">
        <v>1410</v>
      </c>
      <c r="K116" s="43" t="str">
        <f>VLOOKUP(C116,'[1]뷰프레임 전체_상세'!$B:$E,4,0)</f>
        <v>F-140S-226FFGG1A5</v>
      </c>
      <c r="L116" s="52" t="str">
        <f>IF(M116&lt;=0.9,HYPERLINK("http://www.lxhausys.co.kr/popup/rn/download/downloadPopup.jsp?from=plwindow&amp;uu=/upload/window/REPORT/LXH-EA24-120 F-140S-226FFGG1A5.pdf","1등급"),IF(M116&lt;=1.2,HYPERLINK("http://www.lxhausys.co.kr/popup/rn/download/downloadPopup.jsp?from=plwindow&amp;uu=/upload/window/REPORT/LXH-EA24-120 F-140S-226FFGG1A5.pdf","2등급"),IF(M116&lt;=1.8,HYPERLINK("http://www.lxhausys.co.kr/popup/rn/download/downloadPopup.jsp?from=plwindow&amp;uu=/upload/window/REPORT/LXH-EA24-120 F-140S-226FFGG1A5.pdf","3등급"),IF(M116&lt;=2.3,HYPERLINK("http://www.lxhausys.co.kr/popup/rn/download/downloadPopup.jsp?from=plwindow&amp;uu=/upload/window/REPORT/LXH-EA24-120 F-140S-226FFGG1A5.pdf","4등급"),IF(M116&lt;=2.8,HYPERLINK("http://www.lxhausys.co.kr/popup/rn/download/downloadPopup.jsp?from=plwindow&amp;uu=/upload/window/REPORT/LXH-EA24-120 F-140S-226FFGG1A5.pdf","5등급"),HYPERLINK("http://www.lxhausys.co.kr/popup/rn/download/downloadPopup.jsp?from=plwindow&amp;uu=/upload/window/REPORT/LXH-TW22-015 S-124-222FFGL1R119.pdf","등급외"))))))</f>
        <v>5등급</v>
      </c>
      <c r="M116" s="45">
        <v>2.6930000000000001</v>
      </c>
      <c r="N116" s="45">
        <v>1.3</v>
      </c>
      <c r="O116" s="42"/>
      <c r="P116" s="42" t="s">
        <v>103</v>
      </c>
      <c r="Q116" s="42" t="s">
        <v>19</v>
      </c>
      <c r="R116" s="42" t="s">
        <v>19</v>
      </c>
      <c r="S116" s="42" t="s">
        <v>19</v>
      </c>
      <c r="T116" s="42" t="s">
        <v>19</v>
      </c>
      <c r="U116" s="42" t="s">
        <v>19</v>
      </c>
      <c r="V116" s="42" t="s">
        <v>19</v>
      </c>
      <c r="W116" s="42" t="s">
        <v>19</v>
      </c>
      <c r="X116" s="42" t="s">
        <v>75</v>
      </c>
    </row>
    <row r="117" spans="1:24">
      <c r="A117" s="42" t="s">
        <v>696</v>
      </c>
      <c r="B117" s="43" t="s">
        <v>895</v>
      </c>
      <c r="C117" s="42" t="s">
        <v>1192</v>
      </c>
      <c r="D117" s="42" t="s">
        <v>20</v>
      </c>
      <c r="E117" s="43" t="s">
        <v>1073</v>
      </c>
      <c r="F117" s="44"/>
      <c r="G117" s="43"/>
      <c r="H117" s="43"/>
      <c r="I117" s="43"/>
      <c r="J117" s="42" t="s">
        <v>1410</v>
      </c>
      <c r="K117" s="43" t="str">
        <f>VLOOKUP(C117,'[1]뷰프레임 전체_상세'!$B:$E,4,0)</f>
        <v>F-145S-224FFGS1R5</v>
      </c>
      <c r="L117" s="52" t="str">
        <f>IF(M117&lt;=0.9,HYPERLINK("http://www.lxhausys.co.kr/popup/rn/download/downloadPopup.jsp?from=plwindow&amp;uu=/upload/window/REPORT/LXH-EA24-121 F-145S-224FFGS1R5.pdf","1등급"),IF(M117&lt;=1.2,HYPERLINK("http://www.lxhausys.co.kr/popup/rn/download/downloadPopup.jsp?from=plwindow&amp;uu=/upload/window/REPORT/LXH-EA24-121 F-145S-224FFGS1R5.pdf","2등급"),IF(M117&lt;=1.8,HYPERLINK("http://www.lxhausys.co.kr/popup/rn/download/downloadPopup.jsp?from=plwindow&amp;uu=/upload/window/REPORT/LXH-EA24-121 F-145S-224FFGS1R5.pdf","3등급"),IF(M117&lt;=2.3,HYPERLINK("http://www.lxhausys.co.kr/popup/rn/download/downloadPopup.jsp?from=plwindow&amp;uu=/upload/window/REPORT/LXH-EA24-121 F-145S-224FFGS1R5.pdf","4등급"),IF(M117&lt;=2.8,HYPERLINK("http://www.lxhausys.co.kr/popup/rn/download/downloadPopup.jsp?from=plwindow&amp;uu=/upload/window/REPORT/LXH-EA24-121 F-145S-224FFGS1R5.pdf","5등급"),HYPERLINK("http://www.lxhausys.co.kr/popup/rn/download/downloadPopup.jsp?from=plwindow&amp;uu=/upload/window/REPORT/LXH-TW22-015 S-124-222FFGL1R120.pdf","등급외"))))))</f>
        <v>3등급</v>
      </c>
      <c r="M117" s="45">
        <v>1.7609999999999999</v>
      </c>
      <c r="N117" s="45">
        <v>1.44</v>
      </c>
      <c r="O117" s="42"/>
      <c r="P117" s="42" t="s">
        <v>103</v>
      </c>
      <c r="Q117" s="42" t="s">
        <v>19</v>
      </c>
      <c r="R117" s="42" t="s">
        <v>19</v>
      </c>
      <c r="S117" s="42" t="s">
        <v>19</v>
      </c>
      <c r="T117" s="42" t="s">
        <v>19</v>
      </c>
      <c r="U117" s="42" t="s">
        <v>19</v>
      </c>
      <c r="V117" s="42" t="s">
        <v>19</v>
      </c>
      <c r="W117" s="42" t="s">
        <v>19</v>
      </c>
      <c r="X117" s="42" t="s">
        <v>75</v>
      </c>
    </row>
    <row r="118" spans="1:24">
      <c r="A118" s="42" t="s">
        <v>671</v>
      </c>
      <c r="B118" s="43" t="s">
        <v>896</v>
      </c>
      <c r="C118" s="42" t="s">
        <v>1193</v>
      </c>
      <c r="D118" s="42" t="s">
        <v>20</v>
      </c>
      <c r="E118" s="43" t="s">
        <v>732</v>
      </c>
      <c r="F118" s="44" t="s">
        <v>744</v>
      </c>
      <c r="G118" s="43"/>
      <c r="H118" s="43"/>
      <c r="I118" s="43"/>
      <c r="J118" s="42" t="s">
        <v>1410</v>
      </c>
      <c r="K118" s="43" t="str">
        <f>VLOOKUP(C118,'[1]뷰프레임 전체_상세'!$B:$E,4,0)</f>
        <v>F-250-466KGGS2R5</v>
      </c>
      <c r="L118" s="52" t="str">
        <f>IF(M118&lt;=0.9,HYPERLINK("http://www.lxhausys.co.kr/popup/rn/download/downloadPopup.jsp?from=plwindow&amp;uu=/upload/window/REPORT/LXH-EA24-122 F-250-466KGGS2R5.pdf","1등급"),IF(M118&lt;=1.2,HYPERLINK("http://www.lxhausys.co.kr/popup/rn/download/downloadPopup.jsp?from=plwindow&amp;uu=/upload/window/REPORT/LXH-EA24-122 F-250-466KGGS2R5.pdf","2등급"),IF(M118&lt;=1.8,HYPERLINK("http://www.lxhausys.co.kr/popup/rn/download/downloadPopup.jsp?from=plwindow&amp;uu=/upload/window/REPORT/LXH-EA24-122 F-250-466KGGS2R5.pdf","3등급"),IF(M118&lt;=2.3,HYPERLINK("http://www.lxhausys.co.kr/popup/rn/download/downloadPopup.jsp?from=plwindow&amp;uu=/upload/window/REPORT/LXH-EA24-122 F-250-466KGGS2R5.pdf","4등급"),IF(M118&lt;=2.8,HYPERLINK("http://www.lxhausys.co.kr/popup/rn/download/downloadPopup.jsp?from=plwindow&amp;uu=/upload/window/REPORT/LXH-EA24-122 F-250-466KGGS2R5.pdf","5등급"),HYPERLINK("http://www.lxhausys.co.kr/popup/rn/download/downloadPopup.jsp?from=plwindow&amp;uu=/upload/window/REPORT/LXH-TW22-015 S-124-222FFGL1R121.pdf","등급외"))))))</f>
        <v>1등급</v>
      </c>
      <c r="M118" s="45">
        <v>0.56399999999999995</v>
      </c>
      <c r="N118" s="45">
        <v>0.8</v>
      </c>
      <c r="O118" s="42"/>
      <c r="P118" s="42" t="s">
        <v>22</v>
      </c>
      <c r="Q118" s="42" t="s">
        <v>19</v>
      </c>
      <c r="R118" s="42" t="s">
        <v>19</v>
      </c>
      <c r="S118" s="42" t="s">
        <v>19</v>
      </c>
      <c r="T118" s="42" t="s">
        <v>19</v>
      </c>
      <c r="U118" s="42" t="s">
        <v>19</v>
      </c>
      <c r="V118" s="42" t="s">
        <v>19</v>
      </c>
      <c r="W118" s="42" t="s">
        <v>19</v>
      </c>
      <c r="X118" s="42" t="s">
        <v>75</v>
      </c>
    </row>
    <row r="119" spans="1:24">
      <c r="A119" s="42" t="s">
        <v>671</v>
      </c>
      <c r="B119" s="43" t="s">
        <v>897</v>
      </c>
      <c r="C119" s="42" t="s">
        <v>1194</v>
      </c>
      <c r="D119" s="42" t="s">
        <v>20</v>
      </c>
      <c r="E119" s="43" t="s">
        <v>736</v>
      </c>
      <c r="F119" s="44" t="s">
        <v>749</v>
      </c>
      <c r="G119" s="43"/>
      <c r="H119" s="43"/>
      <c r="I119" s="43"/>
      <c r="J119" s="42" t="s">
        <v>1410</v>
      </c>
      <c r="K119" s="43" t="str">
        <f>VLOOKUP(C119,'[1]뷰프레임 전체_상세'!$B:$E,4,0)</f>
        <v>F-250-444KGGG2A5</v>
      </c>
      <c r="L119" s="52" t="str">
        <f>IF(M119&lt;=0.9,HYPERLINK("http://www.lxhausys.co.kr/popup/rn/download/downloadPopup.jsp?from=plwindow&amp;uu=/upload/window/REPORT/LXH-EA24-123 F-250-444KGGG2A5.pdf","1등급"),IF(M119&lt;=1.2,HYPERLINK("http://www.lxhausys.co.kr/popup/rn/download/downloadPopup.jsp?from=plwindow&amp;uu=/upload/window/REPORT/LXH-EA24-123 F-250-444KGGG2A5.pdf","2등급"),IF(M119&lt;=1.8,HYPERLINK("http://www.lxhausys.co.kr/popup/rn/download/downloadPopup.jsp?from=plwindow&amp;uu=/upload/window/REPORT/LXH-EA24-123 F-250-444KGGG2A5.pdf","3등급"),IF(M119&lt;=2.3,HYPERLINK("http://www.lxhausys.co.kr/popup/rn/download/downloadPopup.jsp?from=plwindow&amp;uu=/upload/window/REPORT/LXH-EA24-123 F-250-444KGGG2A5.pdf","4등급"),IF(M119&lt;=2.8,HYPERLINK("http://www.lxhausys.co.kr/popup/rn/download/downloadPopup.jsp?from=plwindow&amp;uu=/upload/window/REPORT/LXH-EA24-123 F-250-444KGGG2A5.pdf","5등급"),HYPERLINK("http://www.lxhausys.co.kr/popup/rn/download/downloadPopup.jsp?from=plwindow&amp;uu=/upload/window/REPORT/LXH-TW22-015 S-124-222FFGL1R122.pdf","등급외"))))))</f>
        <v>2등급</v>
      </c>
      <c r="M119" s="45">
        <v>0.94899999999999995</v>
      </c>
      <c r="N119" s="45">
        <v>0.79</v>
      </c>
      <c r="O119" s="42"/>
      <c r="P119" s="42" t="s">
        <v>22</v>
      </c>
      <c r="Q119" s="42" t="s">
        <v>19</v>
      </c>
      <c r="R119" s="42" t="s">
        <v>19</v>
      </c>
      <c r="S119" s="42" t="s">
        <v>19</v>
      </c>
      <c r="T119" s="42" t="s">
        <v>19</v>
      </c>
      <c r="U119" s="42" t="s">
        <v>19</v>
      </c>
      <c r="V119" s="42" t="s">
        <v>19</v>
      </c>
      <c r="W119" s="42" t="s">
        <v>19</v>
      </c>
      <c r="X119" s="42" t="s">
        <v>75</v>
      </c>
    </row>
    <row r="120" spans="1:24">
      <c r="A120" s="42" t="s">
        <v>671</v>
      </c>
      <c r="B120" s="43" t="s">
        <v>898</v>
      </c>
      <c r="C120" s="42" t="s">
        <v>1195</v>
      </c>
      <c r="D120" s="42" t="s">
        <v>20</v>
      </c>
      <c r="E120" s="43" t="s">
        <v>737</v>
      </c>
      <c r="F120" s="44" t="s">
        <v>750</v>
      </c>
      <c r="G120" s="43"/>
      <c r="H120" s="43"/>
      <c r="I120" s="43"/>
      <c r="J120" s="42" t="s">
        <v>1410</v>
      </c>
      <c r="K120" s="43" t="str">
        <f>VLOOKUP(C120,'[1]뷰프레임 전체_상세'!$B:$E,4,0)</f>
        <v>F-250-444KGGS2R5</v>
      </c>
      <c r="L120" s="52" t="str">
        <f>IF(M120&lt;=0.9,HYPERLINK("http://www.lxhausys.co.kr/popup/rn/download/downloadPopup.jsp?from=plwindow&amp;uu=/upload/window/REPORT/LXH-EA24-124 F-250-444KGGS2R5.pdf","1등급"),IF(M120&lt;=1.2,HYPERLINK("http://www.lxhausys.co.kr/popup/rn/download/downloadPopup.jsp?from=plwindow&amp;uu=/upload/window/REPORT/LXH-EA24-124 F-250-444KGGS2R5.pdf","2등급"),IF(M120&lt;=1.8,HYPERLINK("http://www.lxhausys.co.kr/popup/rn/download/downloadPopup.jsp?from=plwindow&amp;uu=/upload/window/REPORT/LXH-EA24-124 F-250-444KGGS2R5.pdf","3등급"),IF(M120&lt;=2.3,HYPERLINK("http://www.lxhausys.co.kr/popup/rn/download/downloadPopup.jsp?from=plwindow&amp;uu=/upload/window/REPORT/LXH-EA24-124 F-250-444KGGS2R5.pdf","4등급"),IF(M120&lt;=2.8,HYPERLINK("http://www.lxhausys.co.kr/popup/rn/download/downloadPopup.jsp?from=plwindow&amp;uu=/upload/window/REPORT/LXH-EA24-124 F-250-444KGGS2R5.pdf","5등급"),HYPERLINK("http://www.lxhausys.co.kr/popup/rn/download/downloadPopup.jsp?from=plwindow&amp;uu=/upload/window/REPORT/LXH-TW22-015 S-124-222FFGL1R123.pdf","등급외"))))))</f>
        <v>1등급</v>
      </c>
      <c r="M120" s="45">
        <v>0.58099999999999996</v>
      </c>
      <c r="N120" s="45">
        <v>0.82</v>
      </c>
      <c r="O120" s="42"/>
      <c r="P120" s="42" t="s">
        <v>22</v>
      </c>
      <c r="Q120" s="42" t="s">
        <v>19</v>
      </c>
      <c r="R120" s="42" t="s">
        <v>19</v>
      </c>
      <c r="S120" s="42" t="s">
        <v>19</v>
      </c>
      <c r="T120" s="42" t="s">
        <v>19</v>
      </c>
      <c r="U120" s="42" t="s">
        <v>19</v>
      </c>
      <c r="V120" s="42" t="s">
        <v>19</v>
      </c>
      <c r="W120" s="42" t="s">
        <v>19</v>
      </c>
      <c r="X120" s="42" t="s">
        <v>75</v>
      </c>
    </row>
    <row r="121" spans="1:24">
      <c r="A121" s="42" t="s">
        <v>675</v>
      </c>
      <c r="B121" s="43" t="s">
        <v>899</v>
      </c>
      <c r="C121" s="42" t="s">
        <v>1196</v>
      </c>
      <c r="D121" s="42" t="s">
        <v>20</v>
      </c>
      <c r="E121" s="43" t="s">
        <v>726</v>
      </c>
      <c r="F121" s="44"/>
      <c r="G121" s="43"/>
      <c r="H121" s="43"/>
      <c r="I121" s="43"/>
      <c r="J121" s="42" t="s">
        <v>1410</v>
      </c>
      <c r="K121" s="43" t="str">
        <f>VLOOKUP(C121,'[1]뷰프레임 전체_상세'!$B:$E,4,0)</f>
        <v>F-230WF-228FFKG1A5</v>
      </c>
      <c r="L121" s="52" t="str">
        <f>IF(M121&lt;=0.9,HYPERLINK("http://www.lxhausys.co.kr/popup/rn/download/downloadPopup.jsp?from=plwindow&amp;uu=/upload/window/REPORT/LXH-EA24-150 F-230WF-228FFKG1A5.pdf","1등급"),IF(M121&lt;=1.2,HYPERLINK("http://www.lxhausys.co.kr/popup/rn/download/downloadPopup.jsp?from=plwindow&amp;uu=/upload/window/REPORT/LXH-EA24-150 F-230WF-228FFKG1A5.pdf","2등급"),IF(M121&lt;=1.8,HYPERLINK("http://www.lxhausys.co.kr/popup/rn/download/downloadPopup.jsp?from=plwindow&amp;uu=/upload/window/REPORT/LXH-EA24-150 F-230WF-228FFKG1A5.pdf","3등급"),IF(M121&lt;=2.3,HYPERLINK("http://www.lxhausys.co.kr/popup/rn/download/downloadPopup.jsp?from=plwindow&amp;uu=/upload/window/REPORT/LXH-EA24-150 F-230WF-228FFKG1A5.pdf","4등급"),IF(M121&lt;=2.8,HYPERLINK("http://www.lxhausys.co.kr/popup/rn/download/downloadPopup.jsp?from=plwindow&amp;uu=/upload/window/REPORT/LXH-EA24-150 F-230WF-228FFKG1A5.pdf","5등급"),HYPERLINK("http://www.lxhausys.co.kr/popup/rn/download/downloadPopup.jsp?from=plwindow&amp;uu=/upload/window/REPORT/LXH-TW22-015 S-124-222FFGL1R124.pdf","등급외"))))))</f>
        <v>3등급</v>
      </c>
      <c r="M121" s="45">
        <v>1.76</v>
      </c>
      <c r="N121" s="45">
        <v>1.53</v>
      </c>
      <c r="O121" s="42"/>
      <c r="P121" s="42" t="s">
        <v>103</v>
      </c>
      <c r="Q121" s="42" t="s">
        <v>19</v>
      </c>
      <c r="R121" s="42" t="s">
        <v>19</v>
      </c>
      <c r="S121" s="42" t="s">
        <v>19</v>
      </c>
      <c r="T121" s="42" t="s">
        <v>19</v>
      </c>
      <c r="U121" s="42" t="s">
        <v>19</v>
      </c>
      <c r="V121" s="42" t="s">
        <v>19</v>
      </c>
      <c r="W121" s="42" t="s">
        <v>19</v>
      </c>
      <c r="X121" s="42" t="s">
        <v>75</v>
      </c>
    </row>
    <row r="122" spans="1:24">
      <c r="A122" s="42" t="s">
        <v>675</v>
      </c>
      <c r="B122" s="43" t="s">
        <v>900</v>
      </c>
      <c r="C122" s="42" t="s">
        <v>1197</v>
      </c>
      <c r="D122" s="42" t="s">
        <v>20</v>
      </c>
      <c r="E122" s="43" t="s">
        <v>1073</v>
      </c>
      <c r="F122" s="44"/>
      <c r="G122" s="43"/>
      <c r="H122" s="43"/>
      <c r="I122" s="43"/>
      <c r="J122" s="42" t="s">
        <v>1410</v>
      </c>
      <c r="K122" s="43" t="str">
        <f>VLOOKUP(C122,'[1]뷰프레임 전체_상세'!$B:$E,4,0)</f>
        <v>F-230WF-224FFGS1R5</v>
      </c>
      <c r="L122" s="52" t="str">
        <f>IF(M122&lt;=0.9,HYPERLINK("http://www.lxhausys.co.kr/popup/rn/download/downloadPopup.jsp?from=plwindow&amp;uu=/upload/window/REPORT/LXH-EA24-148 F-230WF-224FFGS1R5.pdf","1등급"),IF(M122&lt;=1.2,HYPERLINK("http://www.lxhausys.co.kr/popup/rn/download/downloadPopup.jsp?from=plwindow&amp;uu=/upload/window/REPORT/LXH-EA24-148 F-230WF-224FFGS1R5.pdf","2등급"),IF(M122&lt;=1.8,HYPERLINK("http://www.lxhausys.co.kr/popup/rn/download/downloadPopup.jsp?from=plwindow&amp;uu=/upload/window/REPORT/LXH-EA24-148 F-230WF-224FFGS1R5.pdf","3등급"),IF(M122&lt;=2.3,HYPERLINK("http://www.lxhausys.co.kr/popup/rn/download/downloadPopup.jsp?from=plwindow&amp;uu=/upload/window/REPORT/LXH-EA24-148 F-230WF-224FFGS1R5.pdf","4등급"),IF(M122&lt;=2.8,HYPERLINK("http://www.lxhausys.co.kr/popup/rn/download/downloadPopup.jsp?from=plwindow&amp;uu=/upload/window/REPORT/LXH-EA24-148 F-230WF-224FFGS1R5.pdf","5등급"),HYPERLINK("http://www.lxhausys.co.kr/popup/rn/download/downloadPopup.jsp?from=plwindow&amp;uu=/upload/window/REPORT/LXH-TW22-015 S-124-222FFGL1R125.pdf","등급외"))))))</f>
        <v>3등급</v>
      </c>
      <c r="M122" s="45">
        <v>1.66</v>
      </c>
      <c r="N122" s="45">
        <v>1.57</v>
      </c>
      <c r="O122" s="42"/>
      <c r="P122" s="42" t="s">
        <v>103</v>
      </c>
      <c r="Q122" s="42" t="s">
        <v>19</v>
      </c>
      <c r="R122" s="42" t="s">
        <v>19</v>
      </c>
      <c r="S122" s="42" t="s">
        <v>19</v>
      </c>
      <c r="T122" s="42" t="s">
        <v>19</v>
      </c>
      <c r="U122" s="42" t="s">
        <v>19</v>
      </c>
      <c r="V122" s="42" t="s">
        <v>19</v>
      </c>
      <c r="W122" s="42" t="s">
        <v>19</v>
      </c>
      <c r="X122" s="42" t="s">
        <v>75</v>
      </c>
    </row>
    <row r="123" spans="1:24">
      <c r="A123" s="42" t="s">
        <v>675</v>
      </c>
      <c r="B123" s="43" t="s">
        <v>901</v>
      </c>
      <c r="C123" s="42" t="s">
        <v>1198</v>
      </c>
      <c r="D123" s="42" t="s">
        <v>20</v>
      </c>
      <c r="E123" s="43" t="s">
        <v>716</v>
      </c>
      <c r="F123" s="44"/>
      <c r="G123" s="43"/>
      <c r="H123" s="43"/>
      <c r="I123" s="43"/>
      <c r="J123" s="42" t="s">
        <v>1410</v>
      </c>
      <c r="K123" s="43" t="str">
        <f>VLOOKUP(C123,'[1]뷰프레임 전체_상세'!$B:$E,4,0)</f>
        <v>F-230WF-224FFKG1R5</v>
      </c>
      <c r="L123" s="52" t="str">
        <f>IF(M123&lt;=0.9,HYPERLINK("http://www.lxhausys.co.kr/popup/rn/download/downloadPopup.jsp?from=plwindow&amp;uu=/upload/window/REPORT/LXH-EA24-146 F-230WF-224FFKG1R5.pdf","1등급"),IF(M123&lt;=1.2,HYPERLINK("http://www.lxhausys.co.kr/popup/rn/download/downloadPopup.jsp?from=plwindow&amp;uu=/upload/window/REPORT/LXH-EA24-146 F-230WF-224FFKG1R5.pdf","2등급"),IF(M123&lt;=1.8,HYPERLINK("http://www.lxhausys.co.kr/popup/rn/download/downloadPopup.jsp?from=plwindow&amp;uu=/upload/window/REPORT/LXH-EA24-146 F-230WF-224FFKG1R5.pdf","3등급"),IF(M123&lt;=2.3,HYPERLINK("http://www.lxhausys.co.kr/popup/rn/download/downloadPopup.jsp?from=plwindow&amp;uu=/upload/window/REPORT/LXH-EA24-146 F-230WF-224FFKG1R5.pdf","4등급"),IF(M123&lt;=2.8,HYPERLINK("http://www.lxhausys.co.kr/popup/rn/download/downloadPopup.jsp?from=plwindow&amp;uu=/upload/window/REPORT/LXH-EA24-146 F-230WF-224FFKG1R5.pdf","5등급"),HYPERLINK("http://www.lxhausys.co.kr/popup/rn/download/downloadPopup.jsp?from=plwindow&amp;uu=/upload/window/REPORT/LXH-TW22-015 S-124-222FFGL1R126.pdf","등급외"))))))</f>
        <v>3등급</v>
      </c>
      <c r="M123" s="45">
        <v>1.56</v>
      </c>
      <c r="N123" s="45">
        <v>1.56</v>
      </c>
      <c r="O123" s="42"/>
      <c r="P123" s="42" t="s">
        <v>103</v>
      </c>
      <c r="Q123" s="42" t="s">
        <v>19</v>
      </c>
      <c r="R123" s="42" t="s">
        <v>19</v>
      </c>
      <c r="S123" s="42" t="s">
        <v>19</v>
      </c>
      <c r="T123" s="42" t="s">
        <v>19</v>
      </c>
      <c r="U123" s="42" t="s">
        <v>19</v>
      </c>
      <c r="V123" s="42" t="s">
        <v>19</v>
      </c>
      <c r="W123" s="42" t="s">
        <v>19</v>
      </c>
      <c r="X123" s="42" t="s">
        <v>75</v>
      </c>
    </row>
    <row r="124" spans="1:24">
      <c r="A124" s="42" t="s">
        <v>675</v>
      </c>
      <c r="B124" s="43" t="s">
        <v>902</v>
      </c>
      <c r="C124" s="42" t="s">
        <v>1199</v>
      </c>
      <c r="D124" s="42" t="s">
        <v>20</v>
      </c>
      <c r="E124" s="43" t="s">
        <v>1075</v>
      </c>
      <c r="F124" s="44"/>
      <c r="G124" s="43"/>
      <c r="H124" s="43"/>
      <c r="I124" s="43"/>
      <c r="J124" s="42" t="s">
        <v>1410</v>
      </c>
      <c r="K124" s="43" t="str">
        <f>VLOOKUP(C124,'[1]뷰프레임 전체_상세'!$B:$E,4,0)</f>
        <v>F-230WF-228FFGS1R5</v>
      </c>
      <c r="L124" s="52" t="str">
        <f>IF(M124&lt;=0.9,HYPERLINK("http://www.lxhausys.co.kr/popup/rn/download/downloadPopup.jsp?from=plwindow&amp;uu=/upload/window/REPORT/LXH-EA24-145 F-230WF-228FFGS1R5.pdf","1등급"),IF(M124&lt;=1.2,HYPERLINK("http://www.lxhausys.co.kr/popup/rn/download/downloadPopup.jsp?from=plwindow&amp;uu=/upload/window/REPORT/LXH-EA24-145 F-230WF-228FFGS1R5.pdf","2등급"),IF(M124&lt;=1.8,HYPERLINK("http://www.lxhausys.co.kr/popup/rn/download/downloadPopup.jsp?from=plwindow&amp;uu=/upload/window/REPORT/LXH-EA24-145 F-230WF-228FFGS1R5.pdf","3등급"),IF(M124&lt;=2.3,HYPERLINK("http://www.lxhausys.co.kr/popup/rn/download/downloadPopup.jsp?from=plwindow&amp;uu=/upload/window/REPORT/LXH-EA24-145 F-230WF-228FFGS1R5.pdf","4등급"),IF(M124&lt;=2.8,HYPERLINK("http://www.lxhausys.co.kr/popup/rn/download/downloadPopup.jsp?from=plwindow&amp;uu=/upload/window/REPORT/LXH-EA24-145 F-230WF-228FFGS1R5.pdf","5등급"),HYPERLINK("http://www.lxhausys.co.kr/popup/rn/download/downloadPopup.jsp?from=plwindow&amp;uu=/upload/window/REPORT/LXH-TW22-015 S-124-222FFGL1R127.pdf","등급외"))))))</f>
        <v>3등급</v>
      </c>
      <c r="M124" s="45">
        <v>1.64</v>
      </c>
      <c r="N124" s="45">
        <v>1.48</v>
      </c>
      <c r="O124" s="42"/>
      <c r="P124" s="42" t="s">
        <v>103</v>
      </c>
      <c r="Q124" s="42" t="s">
        <v>19</v>
      </c>
      <c r="R124" s="42" t="s">
        <v>19</v>
      </c>
      <c r="S124" s="42" t="s">
        <v>19</v>
      </c>
      <c r="T124" s="42" t="s">
        <v>19</v>
      </c>
      <c r="U124" s="42" t="s">
        <v>19</v>
      </c>
      <c r="V124" s="42" t="s">
        <v>19</v>
      </c>
      <c r="W124" s="42" t="s">
        <v>19</v>
      </c>
      <c r="X124" s="42" t="s">
        <v>75</v>
      </c>
    </row>
    <row r="125" spans="1:24">
      <c r="A125" s="42" t="s">
        <v>697</v>
      </c>
      <c r="B125" s="43" t="s">
        <v>903</v>
      </c>
      <c r="C125" s="42" t="s">
        <v>1200</v>
      </c>
      <c r="D125" s="42" t="s">
        <v>20</v>
      </c>
      <c r="E125" s="43" t="s">
        <v>738</v>
      </c>
      <c r="F125" s="44" t="s">
        <v>751</v>
      </c>
      <c r="G125" s="43"/>
      <c r="H125" s="43"/>
      <c r="I125" s="43"/>
      <c r="J125" s="42" t="s">
        <v>1410</v>
      </c>
      <c r="K125" s="43" t="str">
        <f>VLOOKUP(C125,'[1]뷰프레임 전체_상세'!$B:$E,4,0)</f>
        <v>F-265S-422KGGS2A5</v>
      </c>
      <c r="L125" s="52" t="str">
        <f>IF(M125&lt;=0.9,HYPERLINK("http://www.lxhausys.co.kr/popup/rn/download/downloadPopup.jsp?from=plwindow&amp;uu=/upload/window/REPORT/LXH-EA24-144 F-265S-422KGGS2A5.pdf","1등급"),IF(M125&lt;=1.2,HYPERLINK("http://www.lxhausys.co.kr/popup/rn/download/downloadPopup.jsp?from=plwindow&amp;uu=/upload/window/REPORT/LXH-EA24-144 F-265S-422KGGS2A5.pdf","2등급"),IF(M125&lt;=1.8,HYPERLINK("http://www.lxhausys.co.kr/popup/rn/download/downloadPopup.jsp?from=plwindow&amp;uu=/upload/window/REPORT/LXH-EA24-144 F-265S-422KGGS2A5.pdf","3등급"),IF(M125&lt;=2.3,HYPERLINK("http://www.lxhausys.co.kr/popup/rn/download/downloadPopup.jsp?from=plwindow&amp;uu=/upload/window/REPORT/LXH-EA24-144 F-265S-422KGGS2A5.pdf","4등급"),IF(M125&lt;=2.8,HYPERLINK("http://www.lxhausys.co.kr/popup/rn/download/downloadPopup.jsp?from=plwindow&amp;uu=/upload/window/REPORT/LXH-EA24-144 F-265S-422KGGS2A5.pdf","5등급"),HYPERLINK("http://www.lxhausys.co.kr/popup/rn/download/downloadPopup.jsp?from=plwindow&amp;uu=/upload/window/REPORT/LXH-TW22-015 S-124-222FFGL1R128.pdf","등급외"))))))</f>
        <v>1등급</v>
      </c>
      <c r="M125" s="45">
        <v>0.82</v>
      </c>
      <c r="N125" s="45">
        <v>0.8</v>
      </c>
      <c r="O125" s="42"/>
      <c r="P125" s="42" t="s">
        <v>22</v>
      </c>
      <c r="Q125" s="42" t="s">
        <v>19</v>
      </c>
      <c r="R125" s="42" t="s">
        <v>19</v>
      </c>
      <c r="S125" s="42" t="s">
        <v>19</v>
      </c>
      <c r="T125" s="42" t="s">
        <v>19</v>
      </c>
      <c r="U125" s="42" t="s">
        <v>19</v>
      </c>
      <c r="V125" s="42" t="s">
        <v>19</v>
      </c>
      <c r="W125" s="42" t="s">
        <v>19</v>
      </c>
      <c r="X125" s="42" t="s">
        <v>75</v>
      </c>
    </row>
    <row r="126" spans="1:24">
      <c r="A126" s="42" t="s">
        <v>697</v>
      </c>
      <c r="B126" s="43" t="s">
        <v>904</v>
      </c>
      <c r="C126" s="42" t="s">
        <v>1201</v>
      </c>
      <c r="D126" s="42" t="s">
        <v>20</v>
      </c>
      <c r="E126" s="43" t="s">
        <v>737</v>
      </c>
      <c r="F126" s="44" t="s">
        <v>749</v>
      </c>
      <c r="G126" s="43"/>
      <c r="H126" s="43"/>
      <c r="I126" s="43"/>
      <c r="J126" s="42" t="s">
        <v>1410</v>
      </c>
      <c r="K126" s="43" t="str">
        <f>VLOOKUP(C126,'[1]뷰프레임 전체_상세'!$B:$E,4,0)</f>
        <v>F-265S-444KGGG1R5</v>
      </c>
      <c r="L126" s="52" t="str">
        <f>IF(M126&lt;=0.9,HYPERLINK("http://www.lxhausys.co.kr/popup/rn/download/downloadPopup.jsp?from=plwindow&amp;uu=/upload/window/REPORT/LXH-EA24-143 F-265S-444KGGG1R5.pdf","1등급"),IF(M126&lt;=1.2,HYPERLINK("http://www.lxhausys.co.kr/popup/rn/download/downloadPopup.jsp?from=plwindow&amp;uu=/upload/window/REPORT/LXH-EA24-143 F-265S-444KGGG1R5.pdf","2등급"),IF(M126&lt;=1.8,HYPERLINK("http://www.lxhausys.co.kr/popup/rn/download/downloadPopup.jsp?from=plwindow&amp;uu=/upload/window/REPORT/LXH-EA24-143 F-265S-444KGGG1R5.pdf","3등급"),IF(M126&lt;=2.3,HYPERLINK("http://www.lxhausys.co.kr/popup/rn/download/downloadPopup.jsp?from=plwindow&amp;uu=/upload/window/REPORT/LXH-EA24-143 F-265S-444KGGG1R5.pdf","4등급"),IF(M126&lt;=2.8,HYPERLINK("http://www.lxhausys.co.kr/popup/rn/download/downloadPopup.jsp?from=plwindow&amp;uu=/upload/window/REPORT/LXH-EA24-143 F-265S-444KGGG1R5.pdf","5등급"),HYPERLINK("http://www.lxhausys.co.kr/popup/rn/download/downloadPopup.jsp?from=plwindow&amp;uu=/upload/window/REPORT/LXH-TW22-015 S-124-222FFGL1R129.pdf","등급외"))))))</f>
        <v>1등급</v>
      </c>
      <c r="M126" s="45">
        <v>0.86</v>
      </c>
      <c r="N126" s="45">
        <v>0.84</v>
      </c>
      <c r="O126" s="42"/>
      <c r="P126" s="42" t="s">
        <v>22</v>
      </c>
      <c r="Q126" s="42" t="s">
        <v>19</v>
      </c>
      <c r="R126" s="42" t="s">
        <v>19</v>
      </c>
      <c r="S126" s="42" t="s">
        <v>19</v>
      </c>
      <c r="T126" s="42" t="s">
        <v>19</v>
      </c>
      <c r="U126" s="42" t="s">
        <v>19</v>
      </c>
      <c r="V126" s="42" t="s">
        <v>19</v>
      </c>
      <c r="W126" s="42" t="s">
        <v>19</v>
      </c>
      <c r="X126" s="42" t="s">
        <v>75</v>
      </c>
    </row>
    <row r="127" spans="1:24">
      <c r="A127" s="42" t="s">
        <v>697</v>
      </c>
      <c r="B127" s="43" t="s">
        <v>905</v>
      </c>
      <c r="C127" s="42" t="s">
        <v>1202</v>
      </c>
      <c r="D127" s="42" t="s">
        <v>20</v>
      </c>
      <c r="E127" s="43" t="s">
        <v>734</v>
      </c>
      <c r="F127" s="44" t="s">
        <v>747</v>
      </c>
      <c r="G127" s="43"/>
      <c r="H127" s="43"/>
      <c r="I127" s="43"/>
      <c r="J127" s="42" t="s">
        <v>1410</v>
      </c>
      <c r="K127" s="43" t="str">
        <f>VLOOKUP(C127,'[1]뷰프레임 전체_상세'!$B:$E,4,0)</f>
        <v>F-265S-488KGGG2A5</v>
      </c>
      <c r="L127" s="52" t="str">
        <f>IF(M127&lt;=0.9,HYPERLINK("http://www.lxhausys.co.kr/popup/rn/download/downloadPopup.jsp?from=plwindow&amp;uu=/upload/window/REPORT/LXH-EA24-142 F-265S-488KGGG2A5.pdf","1등급"),IF(M127&lt;=1.2,HYPERLINK("http://www.lxhausys.co.kr/popup/rn/download/downloadPopup.jsp?from=plwindow&amp;uu=/upload/window/REPORT/LXH-EA24-142 F-265S-488KGGG2A5.pdf","2등급"),IF(M127&lt;=1.8,HYPERLINK("http://www.lxhausys.co.kr/popup/rn/download/downloadPopup.jsp?from=plwindow&amp;uu=/upload/window/REPORT/LXH-EA24-142 F-265S-488KGGG2A5.pdf","3등급"),IF(M127&lt;=2.3,HYPERLINK("http://www.lxhausys.co.kr/popup/rn/download/downloadPopup.jsp?from=plwindow&amp;uu=/upload/window/REPORT/LXH-EA24-142 F-265S-488KGGG2A5.pdf","4등급"),IF(M127&lt;=2.8,HYPERLINK("http://www.lxhausys.co.kr/popup/rn/download/downloadPopup.jsp?from=plwindow&amp;uu=/upload/window/REPORT/LXH-EA24-142 F-265S-488KGGG2A5.pdf","5등급"),HYPERLINK("http://www.lxhausys.co.kr/popup/rn/download/downloadPopup.jsp?from=plwindow&amp;uu=/upload/window/REPORT/LXH-TW22-015 S-124-222FFGL1R130.pdf","등급외"))))))</f>
        <v>1등급</v>
      </c>
      <c r="M127" s="45">
        <v>0.86</v>
      </c>
      <c r="N127" s="45">
        <v>0.81</v>
      </c>
      <c r="O127" s="42"/>
      <c r="P127" s="42" t="s">
        <v>22</v>
      </c>
      <c r="Q127" s="42" t="s">
        <v>19</v>
      </c>
      <c r="R127" s="42" t="s">
        <v>19</v>
      </c>
      <c r="S127" s="42" t="s">
        <v>19</v>
      </c>
      <c r="T127" s="42" t="s">
        <v>19</v>
      </c>
      <c r="U127" s="42" t="s">
        <v>19</v>
      </c>
      <c r="V127" s="42" t="s">
        <v>19</v>
      </c>
      <c r="W127" s="42" t="s">
        <v>19</v>
      </c>
      <c r="X127" s="42" t="s">
        <v>75</v>
      </c>
    </row>
    <row r="128" spans="1:24">
      <c r="A128" s="42" t="s">
        <v>697</v>
      </c>
      <c r="B128" s="43" t="s">
        <v>906</v>
      </c>
      <c r="C128" s="42" t="s">
        <v>1203</v>
      </c>
      <c r="D128" s="42" t="s">
        <v>20</v>
      </c>
      <c r="E128" s="43" t="s">
        <v>737</v>
      </c>
      <c r="F128" s="44" t="s">
        <v>750</v>
      </c>
      <c r="G128" s="43"/>
      <c r="H128" s="43"/>
      <c r="I128" s="43"/>
      <c r="J128" s="42" t="s">
        <v>1410</v>
      </c>
      <c r="K128" s="43" t="str">
        <f>VLOOKUP(C128,'[1]뷰프레임 전체_상세'!$B:$E,4,0)</f>
        <v>F-265S-444KGGS2R5</v>
      </c>
      <c r="L128" s="52" t="str">
        <f>IF(M128&lt;=0.9,HYPERLINK("http://www.lxhausys.co.kr/popup/rn/download/downloadPopup.jsp?from=plwindow&amp;uu=/upload/window/REPORT/LXH-EA24-140 F-265S-444KGGS2R5.pdf","1등급"),IF(M128&lt;=1.2,HYPERLINK("http://www.lxhausys.co.kr/popup/rn/download/downloadPopup.jsp?from=plwindow&amp;uu=/upload/window/REPORT/LXH-EA24-140 F-265S-444KGGS2R5.pdf","2등급"),IF(M128&lt;=1.8,HYPERLINK("http://www.lxhausys.co.kr/popup/rn/download/downloadPopup.jsp?from=plwindow&amp;uu=/upload/window/REPORT/LXH-EA24-140 F-265S-444KGGS2R5.pdf","3등급"),IF(M128&lt;=2.3,HYPERLINK("http://www.lxhausys.co.kr/popup/rn/download/downloadPopup.jsp?from=plwindow&amp;uu=/upload/window/REPORT/LXH-EA24-140 F-265S-444KGGS2R5.pdf","4등급"),IF(M128&lt;=2.8,HYPERLINK("http://www.lxhausys.co.kr/popup/rn/download/downloadPopup.jsp?from=plwindow&amp;uu=/upload/window/REPORT/LXH-EA24-140 F-265S-444KGGS2R5.pdf","5등급"),HYPERLINK("http://www.lxhausys.co.kr/popup/rn/download/downloadPopup.jsp?from=plwindow&amp;uu=/upload/window/REPORT/LXH-TW22-015 S-124-222FFGL1R131.pdf","등급외"))))))</f>
        <v>1등급</v>
      </c>
      <c r="M128" s="45">
        <v>0.61</v>
      </c>
      <c r="N128" s="45">
        <v>0.8</v>
      </c>
      <c r="O128" s="42"/>
      <c r="P128" s="42" t="s">
        <v>22</v>
      </c>
      <c r="Q128" s="42" t="s">
        <v>19</v>
      </c>
      <c r="R128" s="42" t="s">
        <v>19</v>
      </c>
      <c r="S128" s="42" t="s">
        <v>19</v>
      </c>
      <c r="T128" s="42" t="s">
        <v>19</v>
      </c>
      <c r="U128" s="42" t="s">
        <v>19</v>
      </c>
      <c r="V128" s="42" t="s">
        <v>19</v>
      </c>
      <c r="W128" s="42" t="s">
        <v>19</v>
      </c>
      <c r="X128" s="42" t="s">
        <v>75</v>
      </c>
    </row>
    <row r="129" spans="1:24">
      <c r="A129" s="42" t="s">
        <v>697</v>
      </c>
      <c r="B129" s="43" t="s">
        <v>907</v>
      </c>
      <c r="C129" s="42" t="s">
        <v>1204</v>
      </c>
      <c r="D129" s="42" t="s">
        <v>20</v>
      </c>
      <c r="E129" s="43" t="s">
        <v>740</v>
      </c>
      <c r="F129" s="44" t="s">
        <v>753</v>
      </c>
      <c r="G129" s="43"/>
      <c r="H129" s="43"/>
      <c r="I129" s="43"/>
      <c r="J129" s="42" t="s">
        <v>1410</v>
      </c>
      <c r="K129" s="43" t="str">
        <f>VLOOKUP(C129,'[1]뷰프레임 전체_상세'!$B:$E,4,0)</f>
        <v>F-265S-422GSGS2R5</v>
      </c>
      <c r="L129" s="52" t="str">
        <f>IF(M129&lt;=0.9,HYPERLINK("http://www.lxhausys.co.kr/popup/rn/download/downloadPopup.jsp?from=plwindow&amp;uu=/upload/window/REPORT/LXH-EA24-139 F-265S-422GSGS2R5.pdf","1등급"),IF(M129&lt;=1.2,HYPERLINK("http://www.lxhausys.co.kr/popup/rn/download/downloadPopup.jsp?from=plwindow&amp;uu=/upload/window/REPORT/LXH-EA24-139 F-265S-422GSGS2R5.pdf","2등급"),IF(M129&lt;=1.8,HYPERLINK("http://www.lxhausys.co.kr/popup/rn/download/downloadPopup.jsp?from=plwindow&amp;uu=/upload/window/REPORT/LXH-EA24-139 F-265S-422GSGS2R5.pdf","3등급"),IF(M129&lt;=2.3,HYPERLINK("http://www.lxhausys.co.kr/popup/rn/download/downloadPopup.jsp?from=plwindow&amp;uu=/upload/window/REPORT/LXH-EA24-139 F-265S-422GSGS2R5.pdf","4등급"),IF(M129&lt;=2.8,HYPERLINK("http://www.lxhausys.co.kr/popup/rn/download/downloadPopup.jsp?from=plwindow&amp;uu=/upload/window/REPORT/LXH-EA24-139 F-265S-422GSGS2R5.pdf","5등급"),HYPERLINK("http://www.lxhausys.co.kr/popup/rn/download/downloadPopup.jsp?from=plwindow&amp;uu=/upload/window/REPORT/LXH-TW22-015 S-124-222FFGL1R132.pdf","등급외"))))))</f>
        <v>1등급</v>
      </c>
      <c r="M129" s="45">
        <v>0.7</v>
      </c>
      <c r="N129" s="45">
        <v>0.78</v>
      </c>
      <c r="O129" s="42"/>
      <c r="P129" s="42" t="s">
        <v>22</v>
      </c>
      <c r="Q129" s="42" t="s">
        <v>19</v>
      </c>
      <c r="R129" s="42" t="s">
        <v>19</v>
      </c>
      <c r="S129" s="42" t="s">
        <v>19</v>
      </c>
      <c r="T129" s="42" t="s">
        <v>19</v>
      </c>
      <c r="U129" s="42" t="s">
        <v>19</v>
      </c>
      <c r="V129" s="42" t="s">
        <v>19</v>
      </c>
      <c r="W129" s="42" t="s">
        <v>19</v>
      </c>
      <c r="X129" s="42" t="s">
        <v>75</v>
      </c>
    </row>
    <row r="130" spans="1:24">
      <c r="A130" s="42" t="s">
        <v>697</v>
      </c>
      <c r="B130" s="43" t="s">
        <v>908</v>
      </c>
      <c r="C130" s="42" t="s">
        <v>1205</v>
      </c>
      <c r="D130" s="42" t="s">
        <v>20</v>
      </c>
      <c r="E130" s="43" t="s">
        <v>733</v>
      </c>
      <c r="F130" s="44" t="s">
        <v>747</v>
      </c>
      <c r="G130" s="43"/>
      <c r="H130" s="43"/>
      <c r="I130" s="43"/>
      <c r="J130" s="42" t="s">
        <v>1410</v>
      </c>
      <c r="K130" s="43" t="str">
        <f>VLOOKUP(C130,'[1]뷰프레임 전체_상세'!$B:$E,4,0)</f>
        <v>F-265S-488KGGG1R5</v>
      </c>
      <c r="L130" s="52" t="str">
        <f>IF(M130&lt;=0.9,HYPERLINK("http://www.lxhausys.co.kr/popup/rn/download/downloadPopup.jsp?from=plwindow&amp;uu=/upload/window/REPORT/LXH-EA24-138 F-265S-488KGGG1R5.pdf","1등급"),IF(M130&lt;=1.2,HYPERLINK("http://www.lxhausys.co.kr/popup/rn/download/downloadPopup.jsp?from=plwindow&amp;uu=/upload/window/REPORT/LXH-EA24-138 F-265S-488KGGG1R5.pdf","2등급"),IF(M130&lt;=1.8,HYPERLINK("http://www.lxhausys.co.kr/popup/rn/download/downloadPopup.jsp?from=plwindow&amp;uu=/upload/window/REPORT/LXH-EA24-138 F-265S-488KGGG1R5.pdf","3등급"),IF(M130&lt;=2.3,HYPERLINK("http://www.lxhausys.co.kr/popup/rn/download/downloadPopup.jsp?from=plwindow&amp;uu=/upload/window/REPORT/LXH-EA24-138 F-265S-488KGGG1R5.pdf","4등급"),IF(M130&lt;=2.8,HYPERLINK("http://www.lxhausys.co.kr/popup/rn/download/downloadPopup.jsp?from=plwindow&amp;uu=/upload/window/REPORT/LXH-EA24-138 F-265S-488KGGG1R5.pdf","5등급"),HYPERLINK("http://www.lxhausys.co.kr/popup/rn/download/downloadPopup.jsp?from=plwindow&amp;uu=/upload/window/REPORT/LXH-TW22-015 S-124-222FFGL1R133.pdf","등급외"))))))</f>
        <v>1등급</v>
      </c>
      <c r="M130" s="45">
        <v>0.82000000000000006</v>
      </c>
      <c r="N130" s="45">
        <v>0.83</v>
      </c>
      <c r="O130" s="42"/>
      <c r="P130" s="42" t="s">
        <v>22</v>
      </c>
      <c r="Q130" s="42" t="s">
        <v>19</v>
      </c>
      <c r="R130" s="42" t="s">
        <v>19</v>
      </c>
      <c r="S130" s="42" t="s">
        <v>19</v>
      </c>
      <c r="T130" s="42" t="s">
        <v>19</v>
      </c>
      <c r="U130" s="42" t="s">
        <v>19</v>
      </c>
      <c r="V130" s="42" t="s">
        <v>19</v>
      </c>
      <c r="W130" s="42" t="s">
        <v>19</v>
      </c>
      <c r="X130" s="42" t="s">
        <v>75</v>
      </c>
    </row>
    <row r="131" spans="1:24">
      <c r="A131" s="42" t="s">
        <v>698</v>
      </c>
      <c r="B131" s="43" t="s">
        <v>909</v>
      </c>
      <c r="C131" s="42" t="s">
        <v>1206</v>
      </c>
      <c r="D131" s="42" t="s">
        <v>20</v>
      </c>
      <c r="E131" s="43" t="s">
        <v>731</v>
      </c>
      <c r="F131" s="44" t="s">
        <v>746</v>
      </c>
      <c r="G131" s="43"/>
      <c r="H131" s="43"/>
      <c r="I131" s="43"/>
      <c r="J131" s="42" t="s">
        <v>1410</v>
      </c>
      <c r="K131" s="43" t="str">
        <f>VLOOKUP(C131,'[1]뷰프레임 전체_상세'!$B:$E,4,0)</f>
        <v>F-285S-466GGGS2A5</v>
      </c>
      <c r="L131" s="52" t="str">
        <f>IF(M131&lt;=0.9,HYPERLINK("http://www.lxhausys.co.kr/popup/rn/download/downloadPopup.jsp?from=plwindow&amp;uu=/upload/window/REPORT/LXH-EA24-137 F-285S-466GGGS2A5.pdf","1등급"),IF(M131&lt;=1.2,HYPERLINK("http://www.lxhausys.co.kr/popup/rn/download/downloadPopup.jsp?from=plwindow&amp;uu=/upload/window/REPORT/LXH-EA24-137 F-285S-466GGGS2A5.pdf","2등급"),IF(M131&lt;=1.8,HYPERLINK("http://www.lxhausys.co.kr/popup/rn/download/downloadPopup.jsp?from=plwindow&amp;uu=/upload/window/REPORT/LXH-EA24-137 F-285S-466GGGS2A5.pdf","3등급"),IF(M131&lt;=2.3,HYPERLINK("http://www.lxhausys.co.kr/popup/rn/download/downloadPopup.jsp?from=plwindow&amp;uu=/upload/window/REPORT/LXH-EA24-137 F-285S-466GGGS2A5.pdf","4등급"),IF(M131&lt;=2.8,HYPERLINK("http://www.lxhausys.co.kr/popup/rn/download/downloadPopup.jsp?from=plwindow&amp;uu=/upload/window/REPORT/LXH-EA24-137 F-285S-466GGGS2A5.pdf","5등급"),HYPERLINK("http://www.lxhausys.co.kr/popup/rn/download/downloadPopup.jsp?from=plwindow&amp;uu=/upload/window/REPORT/LXH-TW22-015 S-124-222FFGL1R134.pdf","등급외"))))))</f>
        <v>1등급</v>
      </c>
      <c r="M131" s="45">
        <v>0.9</v>
      </c>
      <c r="N131" s="45">
        <v>0.83</v>
      </c>
      <c r="O131" s="42"/>
      <c r="P131" s="42" t="s">
        <v>22</v>
      </c>
      <c r="Q131" s="42" t="s">
        <v>19</v>
      </c>
      <c r="R131" s="42" t="s">
        <v>19</v>
      </c>
      <c r="S131" s="42" t="s">
        <v>19</v>
      </c>
      <c r="T131" s="42" t="s">
        <v>19</v>
      </c>
      <c r="U131" s="42" t="s">
        <v>19</v>
      </c>
      <c r="V131" s="42" t="s">
        <v>19</v>
      </c>
      <c r="W131" s="42" t="s">
        <v>19</v>
      </c>
      <c r="X131" s="42" t="s">
        <v>75</v>
      </c>
    </row>
    <row r="132" spans="1:24">
      <c r="A132" s="42" t="s">
        <v>674</v>
      </c>
      <c r="B132" s="43" t="s">
        <v>910</v>
      </c>
      <c r="C132" s="42" t="s">
        <v>1207</v>
      </c>
      <c r="D132" s="42" t="s">
        <v>20</v>
      </c>
      <c r="E132" s="43" t="s">
        <v>1072</v>
      </c>
      <c r="F132" s="44"/>
      <c r="G132" s="43"/>
      <c r="H132" s="43"/>
      <c r="I132" s="43"/>
      <c r="J132" s="42" t="s">
        <v>1410</v>
      </c>
      <c r="K132" s="43" t="str">
        <f>VLOOKUP(C132,'[1]뷰프레임 전체_상세'!$B:$E,4,0)</f>
        <v>F-230W-228FFGS1A5</v>
      </c>
      <c r="L132" s="52" t="str">
        <f>IF(M132&lt;=0.9,HYPERLINK("http://www.lxhausys.co.kr/popup/rn/download/downloadPopup.jsp?from=plwindow&amp;uu=/upload/window/REPORT/LXH-EA24-135 F-230W-228FFGS1A5.pdf","1등급"),IF(M132&lt;=1.2,HYPERLINK("http://www.lxhausys.co.kr/popup/rn/download/downloadPopup.jsp?from=plwindow&amp;uu=/upload/window/REPORT/LXH-EA24-135 F-230W-228FFGS1A5.pdf","2등급"),IF(M132&lt;=1.8,HYPERLINK("http://www.lxhausys.co.kr/popup/rn/download/downloadPopup.jsp?from=plwindow&amp;uu=/upload/window/REPORT/LXH-EA24-135 F-230W-228FFGS1A5.pdf","3등급"),IF(M132&lt;=2.3,HYPERLINK("http://www.lxhausys.co.kr/popup/rn/download/downloadPopup.jsp?from=plwindow&amp;uu=/upload/window/REPORT/LXH-EA24-135 F-230W-228FFGS1A5.pdf","4등급"),IF(M132&lt;=2.8,HYPERLINK("http://www.lxhausys.co.kr/popup/rn/download/downloadPopup.jsp?from=plwindow&amp;uu=/upload/window/REPORT/LXH-EA24-135 F-230W-228FFGS1A5.pdf","5등급"),HYPERLINK("http://www.lxhausys.co.kr/popup/rn/download/downloadPopup.jsp?from=plwindow&amp;uu=/upload/window/REPORT/LXH-TW22-015 S-124-222FFGL1R135.pdf","등급외"))))))</f>
        <v>3등급</v>
      </c>
      <c r="M132" s="45">
        <v>1.78</v>
      </c>
      <c r="N132" s="45">
        <v>1.39</v>
      </c>
      <c r="O132" s="42"/>
      <c r="P132" s="42" t="s">
        <v>103</v>
      </c>
      <c r="Q132" s="42" t="s">
        <v>19</v>
      </c>
      <c r="R132" s="42" t="s">
        <v>19</v>
      </c>
      <c r="S132" s="42" t="s">
        <v>19</v>
      </c>
      <c r="T132" s="42" t="s">
        <v>19</v>
      </c>
      <c r="U132" s="42" t="s">
        <v>19</v>
      </c>
      <c r="V132" s="42" t="s">
        <v>19</v>
      </c>
      <c r="W132" s="42" t="s">
        <v>19</v>
      </c>
      <c r="X132" s="42" t="s">
        <v>75</v>
      </c>
    </row>
    <row r="133" spans="1:24">
      <c r="A133" s="42" t="s">
        <v>674</v>
      </c>
      <c r="B133" s="43" t="s">
        <v>911</v>
      </c>
      <c r="C133" s="42" t="s">
        <v>1208</v>
      </c>
      <c r="D133" s="42" t="s">
        <v>20</v>
      </c>
      <c r="E133" s="43" t="s">
        <v>722</v>
      </c>
      <c r="F133" s="44"/>
      <c r="G133" s="43"/>
      <c r="H133" s="43"/>
      <c r="I133" s="43"/>
      <c r="J133" s="42" t="s">
        <v>1410</v>
      </c>
      <c r="K133" s="43" t="str">
        <f>VLOOKUP(C133,'[1]뷰프레임 전체_상세'!$B:$E,4,0)</f>
        <v>F-230W-224FFKG1A5</v>
      </c>
      <c r="L133" s="52" t="str">
        <f>IF(M133&lt;=0.9,HYPERLINK("http://www.lxhausys.co.kr/popup/rn/download/downloadPopup.jsp?from=plwindow&amp;uu=/upload/window/REPORT/LXH-EA24-133 F-230W-224FFKG1A5.pdf","1등급"),IF(M133&lt;=1.2,HYPERLINK("http://www.lxhausys.co.kr/popup/rn/download/downloadPopup.jsp?from=plwindow&amp;uu=/upload/window/REPORT/LXH-EA24-133 F-230W-224FFKG1A5.pdf","2등급"),IF(M133&lt;=1.8,HYPERLINK("http://www.lxhausys.co.kr/popup/rn/download/downloadPopup.jsp?from=plwindow&amp;uu=/upload/window/REPORT/LXH-EA24-133 F-230W-224FFKG1A5.pdf","3등급"),IF(M133&lt;=2.3,HYPERLINK("http://www.lxhausys.co.kr/popup/rn/download/downloadPopup.jsp?from=plwindow&amp;uu=/upload/window/REPORT/LXH-EA24-133 F-230W-224FFKG1A5.pdf","4등급"),IF(M133&lt;=2.8,HYPERLINK("http://www.lxhausys.co.kr/popup/rn/download/downloadPopup.jsp?from=plwindow&amp;uu=/upload/window/REPORT/LXH-EA24-133 F-230W-224FFKG1A5.pdf","5등급"),HYPERLINK("http://www.lxhausys.co.kr/popup/rn/download/downloadPopup.jsp?from=plwindow&amp;uu=/upload/window/REPORT/LXH-TW22-015 S-124-222FFGL1R136.pdf","등급외"))))))</f>
        <v>3등급</v>
      </c>
      <c r="M133" s="45">
        <v>1.77</v>
      </c>
      <c r="N133" s="45">
        <v>1.45</v>
      </c>
      <c r="O133" s="42"/>
      <c r="P133" s="42" t="s">
        <v>103</v>
      </c>
      <c r="Q133" s="42" t="s">
        <v>19</v>
      </c>
      <c r="R133" s="42" t="s">
        <v>19</v>
      </c>
      <c r="S133" s="42" t="s">
        <v>19</v>
      </c>
      <c r="T133" s="42" t="s">
        <v>19</v>
      </c>
      <c r="U133" s="42" t="s">
        <v>19</v>
      </c>
      <c r="V133" s="42" t="s">
        <v>19</v>
      </c>
      <c r="W133" s="42" t="s">
        <v>19</v>
      </c>
      <c r="X133" s="42" t="s">
        <v>75</v>
      </c>
    </row>
    <row r="134" spans="1:24">
      <c r="A134" s="42" t="s">
        <v>674</v>
      </c>
      <c r="B134" s="43" t="s">
        <v>912</v>
      </c>
      <c r="C134" s="42" t="s">
        <v>1209</v>
      </c>
      <c r="D134" s="42" t="s">
        <v>20</v>
      </c>
      <c r="E134" s="43" t="s">
        <v>726</v>
      </c>
      <c r="F134" s="44"/>
      <c r="G134" s="43"/>
      <c r="H134" s="43"/>
      <c r="I134" s="43"/>
      <c r="J134" s="42" t="s">
        <v>1410</v>
      </c>
      <c r="K134" s="43" t="str">
        <f>VLOOKUP(C134,'[1]뷰프레임 전체_상세'!$B:$E,4,0)</f>
        <v>F-230W-228FFKG1A5</v>
      </c>
      <c r="L134" s="52" t="str">
        <f>IF(M134&lt;=0.9,HYPERLINK("http://www.lxhausys.co.kr/popup/rn/download/downloadPopup.jsp?from=plwindow&amp;uu=/upload/window/REPORT/LXH-EA24-132 F-230W-228FFKG1A5.pdf","1등급"),IF(M134&lt;=1.2,HYPERLINK("http://www.lxhausys.co.kr/popup/rn/download/downloadPopup.jsp?from=plwindow&amp;uu=/upload/window/REPORT/LXH-EA24-132 F-230W-228FFKG1A5.pdf","2등급"),IF(M134&lt;=1.8,HYPERLINK("http://www.lxhausys.co.kr/popup/rn/download/downloadPopup.jsp?from=plwindow&amp;uu=/upload/window/REPORT/LXH-EA24-132 F-230W-228FFKG1A5.pdf","3등급"),IF(M134&lt;=2.3,HYPERLINK("http://www.lxhausys.co.kr/popup/rn/download/downloadPopup.jsp?from=plwindow&amp;uu=/upload/window/REPORT/LXH-EA24-132 F-230W-228FFKG1A5.pdf","4등급"),IF(M134&lt;=2.8,HYPERLINK("http://www.lxhausys.co.kr/popup/rn/download/downloadPopup.jsp?from=plwindow&amp;uu=/upload/window/REPORT/LXH-EA24-132 F-230W-228FFKG1A5.pdf","5등급"),HYPERLINK("http://www.lxhausys.co.kr/popup/rn/download/downloadPopup.jsp?from=plwindow&amp;uu=/upload/window/REPORT/LXH-TW22-015 S-124-222FFGL1R137.pdf","등급외"))))))</f>
        <v>3등급</v>
      </c>
      <c r="M134" s="45">
        <v>1.69</v>
      </c>
      <c r="N134" s="45">
        <v>1.34</v>
      </c>
      <c r="O134" s="42"/>
      <c r="P134" s="42" t="s">
        <v>103</v>
      </c>
      <c r="Q134" s="42" t="s">
        <v>19</v>
      </c>
      <c r="R134" s="42" t="s">
        <v>19</v>
      </c>
      <c r="S134" s="42" t="s">
        <v>19</v>
      </c>
      <c r="T134" s="42" t="s">
        <v>19</v>
      </c>
      <c r="U134" s="42" t="s">
        <v>19</v>
      </c>
      <c r="V134" s="42" t="s">
        <v>19</v>
      </c>
      <c r="W134" s="42" t="s">
        <v>19</v>
      </c>
      <c r="X134" s="42" t="s">
        <v>75</v>
      </c>
    </row>
    <row r="135" spans="1:24">
      <c r="A135" s="42" t="s">
        <v>674</v>
      </c>
      <c r="B135" s="43" t="s">
        <v>913</v>
      </c>
      <c r="C135" s="42" t="s">
        <v>1210</v>
      </c>
      <c r="D135" s="42" t="s">
        <v>20</v>
      </c>
      <c r="E135" s="43" t="s">
        <v>1073</v>
      </c>
      <c r="F135" s="44"/>
      <c r="G135" s="43"/>
      <c r="H135" s="43"/>
      <c r="I135" s="43"/>
      <c r="J135" s="42" t="s">
        <v>1410</v>
      </c>
      <c r="K135" s="43" t="str">
        <f>VLOOKUP(C135,'[1]뷰프레임 전체_상세'!$B:$E,4,0)</f>
        <v>F-230W-224FFGS1R5</v>
      </c>
      <c r="L135" s="52" t="str">
        <f>IF(M135&lt;=0.9,HYPERLINK("http://www.lxhausys.co.kr/popup/rn/download/downloadPopup.jsp?from=plwindow&amp;uu=/upload/window/REPORT/LXH-EA24-131 F-230W-224FFGS1R5.pdf","1등급"),IF(M135&lt;=1.2,HYPERLINK("http://www.lxhausys.co.kr/popup/rn/download/downloadPopup.jsp?from=plwindow&amp;uu=/upload/window/REPORT/LXH-EA24-131 F-230W-224FFGS1R5.pdf","2등급"),IF(M135&lt;=1.8,HYPERLINK("http://www.lxhausys.co.kr/popup/rn/download/downloadPopup.jsp?from=plwindow&amp;uu=/upload/window/REPORT/LXH-EA24-131 F-230W-224FFGS1R5.pdf","3등급"),IF(M135&lt;=2.3,HYPERLINK("http://www.lxhausys.co.kr/popup/rn/download/downloadPopup.jsp?from=plwindow&amp;uu=/upload/window/REPORT/LXH-EA24-131 F-230W-224FFGS1R5.pdf","4등급"),IF(M135&lt;=2.8,HYPERLINK("http://www.lxhausys.co.kr/popup/rn/download/downloadPopup.jsp?from=plwindow&amp;uu=/upload/window/REPORT/LXH-EA24-131 F-230W-224FFGS1R5.pdf","5등급"),HYPERLINK("http://www.lxhausys.co.kr/popup/rn/download/downloadPopup.jsp?from=plwindow&amp;uu=/upload/window/REPORT/LXH-TW22-015 S-124-222FFGL1R138.pdf","등급외"))))))</f>
        <v>3등급</v>
      </c>
      <c r="M135" s="45">
        <v>1.6</v>
      </c>
      <c r="N135" s="45">
        <v>1.32</v>
      </c>
      <c r="O135" s="42"/>
      <c r="P135" s="42" t="s">
        <v>103</v>
      </c>
      <c r="Q135" s="42" t="s">
        <v>19</v>
      </c>
      <c r="R135" s="42" t="s">
        <v>19</v>
      </c>
      <c r="S135" s="42" t="s">
        <v>19</v>
      </c>
      <c r="T135" s="42" t="s">
        <v>19</v>
      </c>
      <c r="U135" s="42" t="s">
        <v>19</v>
      </c>
      <c r="V135" s="42" t="s">
        <v>19</v>
      </c>
      <c r="W135" s="42" t="s">
        <v>19</v>
      </c>
      <c r="X135" s="42" t="s">
        <v>75</v>
      </c>
    </row>
    <row r="136" spans="1:24">
      <c r="A136" s="42" t="s">
        <v>674</v>
      </c>
      <c r="B136" s="43" t="s">
        <v>914</v>
      </c>
      <c r="C136" s="42" t="s">
        <v>1211</v>
      </c>
      <c r="D136" s="42" t="s">
        <v>20</v>
      </c>
      <c r="E136" s="43" t="s">
        <v>1075</v>
      </c>
      <c r="F136" s="44"/>
      <c r="G136" s="43"/>
      <c r="H136" s="43"/>
      <c r="I136" s="43"/>
      <c r="J136" s="42" t="s">
        <v>1410</v>
      </c>
      <c r="K136" s="43" t="str">
        <f>VLOOKUP(C136,'[1]뷰프레임 전체_상세'!$B:$E,4,0)</f>
        <v>F-230W-228FFGS1R5</v>
      </c>
      <c r="L136" s="52" t="str">
        <f>IF(M136&lt;=0.9,HYPERLINK("http://www.lxhausys.co.kr/popup/rn/download/downloadPopup.jsp?from=plwindow&amp;uu=/upload/window/REPORT/LXH-EA24-130 F-230W-228FFGS1R5.pdf","1등급"),IF(M136&lt;=1.2,HYPERLINK("http://www.lxhausys.co.kr/popup/rn/download/downloadPopup.jsp?from=plwindow&amp;uu=/upload/window/REPORT/LXH-EA24-130 F-230W-228FFGS1R5.pdf","2등급"),IF(M136&lt;=1.8,HYPERLINK("http://www.lxhausys.co.kr/popup/rn/download/downloadPopup.jsp?from=plwindow&amp;uu=/upload/window/REPORT/LXH-EA24-130 F-230W-228FFGS1R5.pdf","3등급"),IF(M136&lt;=2.3,HYPERLINK("http://www.lxhausys.co.kr/popup/rn/download/downloadPopup.jsp?from=plwindow&amp;uu=/upload/window/REPORT/LXH-EA24-130 F-230W-228FFGS1R5.pdf","4등급"),IF(M136&lt;=2.8,HYPERLINK("http://www.lxhausys.co.kr/popup/rn/download/downloadPopup.jsp?from=plwindow&amp;uu=/upload/window/REPORT/LXH-EA24-130 F-230W-228FFGS1R5.pdf","5등급"),HYPERLINK("http://www.lxhausys.co.kr/popup/rn/download/downloadPopup.jsp?from=plwindow&amp;uu=/upload/window/REPORT/LXH-TW22-015 S-124-222FFGL1R139.pdf","등급외"))))))</f>
        <v>3등급</v>
      </c>
      <c r="M136" s="45">
        <v>1.58</v>
      </c>
      <c r="N136" s="45">
        <v>1.5</v>
      </c>
      <c r="O136" s="42"/>
      <c r="P136" s="42" t="s">
        <v>103</v>
      </c>
      <c r="Q136" s="42" t="s">
        <v>19</v>
      </c>
      <c r="R136" s="42" t="s">
        <v>19</v>
      </c>
      <c r="S136" s="42" t="s">
        <v>19</v>
      </c>
      <c r="T136" s="42" t="s">
        <v>19</v>
      </c>
      <c r="U136" s="42" t="s">
        <v>19</v>
      </c>
      <c r="V136" s="42" t="s">
        <v>19</v>
      </c>
      <c r="W136" s="42" t="s">
        <v>19</v>
      </c>
      <c r="X136" s="42" t="s">
        <v>75</v>
      </c>
    </row>
    <row r="137" spans="1:24">
      <c r="A137" s="42" t="s">
        <v>674</v>
      </c>
      <c r="B137" s="43" t="s">
        <v>915</v>
      </c>
      <c r="C137" s="42" t="s">
        <v>1212</v>
      </c>
      <c r="D137" s="42" t="s">
        <v>20</v>
      </c>
      <c r="E137" s="43" t="s">
        <v>716</v>
      </c>
      <c r="F137" s="44"/>
      <c r="G137" s="43"/>
      <c r="H137" s="43"/>
      <c r="I137" s="43"/>
      <c r="J137" s="42" t="s">
        <v>1410</v>
      </c>
      <c r="K137" s="43" t="str">
        <f>VLOOKUP(C137,'[1]뷰프레임 전체_상세'!$B:$E,4,0)</f>
        <v>F-230W-224FFKG1R5</v>
      </c>
      <c r="L137" s="52" t="str">
        <f>IF(M137&lt;=0.9,HYPERLINK("http://www.lxhausys.co.kr/popup/rn/download/downloadPopup.jsp?from=plwindow&amp;uu=/upload/window/REPORT/LXH-EA24-129 F-230W-224FFKG1R5.pdf","1등급"),IF(M137&lt;=1.2,HYPERLINK("http://www.lxhausys.co.kr/popup/rn/download/downloadPopup.jsp?from=plwindow&amp;uu=/upload/window/REPORT/LXH-EA24-129 F-230W-224FFKG1R5.pdf","2등급"),IF(M137&lt;=1.8,HYPERLINK("http://www.lxhausys.co.kr/popup/rn/download/downloadPopup.jsp?from=plwindow&amp;uu=/upload/window/REPORT/LXH-EA24-129 F-230W-224FFKG1R5.pdf","3등급"),IF(M137&lt;=2.3,HYPERLINK("http://www.lxhausys.co.kr/popup/rn/download/downloadPopup.jsp?from=plwindow&amp;uu=/upload/window/REPORT/LXH-EA24-129 F-230W-224FFKG1R5.pdf","4등급"),IF(M137&lt;=2.8,HYPERLINK("http://www.lxhausys.co.kr/popup/rn/download/downloadPopup.jsp?from=plwindow&amp;uu=/upload/window/REPORT/LXH-EA24-129 F-230W-224FFKG1R5.pdf","5등급"),HYPERLINK("http://www.lxhausys.co.kr/popup/rn/download/downloadPopup.jsp?from=plwindow&amp;uu=/upload/window/REPORT/LXH-TW22-015 S-124-222FFGL1R140.pdf","등급외"))))))</f>
        <v>3등급</v>
      </c>
      <c r="M137" s="45">
        <v>1.55</v>
      </c>
      <c r="N137" s="45">
        <v>1.46</v>
      </c>
      <c r="O137" s="42"/>
      <c r="P137" s="42" t="s">
        <v>103</v>
      </c>
      <c r="Q137" s="42" t="s">
        <v>19</v>
      </c>
      <c r="R137" s="42" t="s">
        <v>19</v>
      </c>
      <c r="S137" s="42" t="s">
        <v>19</v>
      </c>
      <c r="T137" s="42" t="s">
        <v>19</v>
      </c>
      <c r="U137" s="42" t="s">
        <v>19</v>
      </c>
      <c r="V137" s="42" t="s">
        <v>19</v>
      </c>
      <c r="W137" s="42" t="s">
        <v>19</v>
      </c>
      <c r="X137" s="42" t="s">
        <v>75</v>
      </c>
    </row>
    <row r="138" spans="1:24">
      <c r="A138" s="42" t="s">
        <v>675</v>
      </c>
      <c r="B138" s="43" t="s">
        <v>916</v>
      </c>
      <c r="C138" s="42" t="s">
        <v>1213</v>
      </c>
      <c r="D138" s="42" t="s">
        <v>20</v>
      </c>
      <c r="E138" s="43" t="s">
        <v>722</v>
      </c>
      <c r="F138" s="44"/>
      <c r="G138" s="43"/>
      <c r="H138" s="43"/>
      <c r="I138" s="43"/>
      <c r="J138" s="42" t="s">
        <v>1410</v>
      </c>
      <c r="K138" s="43" t="str">
        <f>VLOOKUP(C138,'[1]뷰프레임 전체_상세'!$B:$E,4,0)</f>
        <v>F-230WF-224FFKG1A5</v>
      </c>
      <c r="L138" s="52" t="str">
        <f>IF(M138&lt;=0.9,HYPERLINK("http://www.lxhausys.co.kr/popup/rn/download/downloadPopup.jsp?from=plwindow&amp;uu=/upload/window/REPORT/LXH-EA24-151 F-230WF-224FFKG1A5.pdf","1등급"),IF(M138&lt;=1.2,HYPERLINK("http://www.lxhausys.co.kr/popup/rn/download/downloadPopup.jsp?from=plwindow&amp;uu=/upload/window/REPORT/LXH-EA24-151 F-230WF-224FFKG1A5.pdf","2등급"),IF(M138&lt;=1.8,HYPERLINK("http://www.lxhausys.co.kr/popup/rn/download/downloadPopup.jsp?from=plwindow&amp;uu=/upload/window/REPORT/LXH-EA24-151 F-230WF-224FFKG1A5.pdf","3등급"),IF(M138&lt;=2.3,HYPERLINK("http://www.lxhausys.co.kr/popup/rn/download/downloadPopup.jsp?from=plwindow&amp;uu=/upload/window/REPORT/LXH-EA24-151 F-230WF-224FFKG1A5.pdf","4등급"),IF(M138&lt;=2.8,HYPERLINK("http://www.lxhausys.co.kr/popup/rn/download/downloadPopup.jsp?from=plwindow&amp;uu=/upload/window/REPORT/LXH-EA24-151 F-230WF-224FFKG1A5.pdf","5등급"),HYPERLINK("http://www.lxhausys.co.kr/popup/rn/download/downloadPopup.jsp?from=plwindow&amp;uu=/upload/window/REPORT/LXH-TW22-015 S-124-222FFGL1R141.pdf","등급외"))))))</f>
        <v>4등급</v>
      </c>
      <c r="M138" s="45">
        <v>1.8280000000000001</v>
      </c>
      <c r="N138" s="45">
        <v>1.58</v>
      </c>
      <c r="O138" s="42"/>
      <c r="P138" s="42" t="s">
        <v>103</v>
      </c>
      <c r="Q138" s="42" t="s">
        <v>19</v>
      </c>
      <c r="R138" s="42" t="s">
        <v>19</v>
      </c>
      <c r="S138" s="42" t="s">
        <v>19</v>
      </c>
      <c r="T138" s="42" t="s">
        <v>19</v>
      </c>
      <c r="U138" s="42" t="s">
        <v>19</v>
      </c>
      <c r="V138" s="42" t="s">
        <v>19</v>
      </c>
      <c r="W138" s="42" t="s">
        <v>19</v>
      </c>
      <c r="X138" s="42" t="s">
        <v>75</v>
      </c>
    </row>
    <row r="139" spans="1:24">
      <c r="A139" s="42" t="s">
        <v>675</v>
      </c>
      <c r="B139" s="43" t="s">
        <v>917</v>
      </c>
      <c r="C139" s="42" t="s">
        <v>1214</v>
      </c>
      <c r="D139" s="42" t="s">
        <v>20</v>
      </c>
      <c r="E139" s="43" t="s">
        <v>1074</v>
      </c>
      <c r="F139" s="44"/>
      <c r="G139" s="43"/>
      <c r="H139" s="43"/>
      <c r="I139" s="43"/>
      <c r="J139" s="42" t="s">
        <v>1410</v>
      </c>
      <c r="K139" s="43" t="str">
        <f>VLOOKUP(C139,'[1]뷰프레임 전체_상세'!$B:$E,4,0)</f>
        <v>F-230WF-224FFGS1A5</v>
      </c>
      <c r="L139" s="52" t="str">
        <f>IF(M139&lt;=0.9,HYPERLINK("http://www.lxhausys.co.kr/popup/rn/download/downloadPopup.jsp?from=plwindow&amp;uu=/upload/window/REPORT/LXH-EA24-149 F-230WF-224FFGS1A5.pdf","1등급"),IF(M139&lt;=1.2,HYPERLINK("http://www.lxhausys.co.kr/popup/rn/download/downloadPopup.jsp?from=plwindow&amp;uu=/upload/window/REPORT/LXH-EA24-149 F-230WF-224FFGS1A5.pdf","2등급"),IF(M139&lt;=1.8,HYPERLINK("http://www.lxhausys.co.kr/popup/rn/download/downloadPopup.jsp?from=plwindow&amp;uu=/upload/window/REPORT/LXH-EA24-149 F-230WF-224FFGS1A5.pdf","3등급"),IF(M139&lt;=2.3,HYPERLINK("http://www.lxhausys.co.kr/popup/rn/download/downloadPopup.jsp?from=plwindow&amp;uu=/upload/window/REPORT/LXH-EA24-149 F-230WF-224FFGS1A5.pdf","4등급"),IF(M139&lt;=2.8,HYPERLINK("http://www.lxhausys.co.kr/popup/rn/download/downloadPopup.jsp?from=plwindow&amp;uu=/upload/window/REPORT/LXH-EA24-149 F-230WF-224FFGS1A5.pdf","5등급"),HYPERLINK("http://www.lxhausys.co.kr/popup/rn/download/downloadPopup.jsp?from=plwindow&amp;uu=/upload/window/REPORT/LXH-TW22-015 S-124-222FFGL1R142.pdf","등급외"))))))</f>
        <v>4등급</v>
      </c>
      <c r="M139" s="45">
        <v>1.9379999999999999</v>
      </c>
      <c r="N139" s="45">
        <v>1.63</v>
      </c>
      <c r="O139" s="42"/>
      <c r="P139" s="42" t="s">
        <v>103</v>
      </c>
      <c r="Q139" s="42" t="s">
        <v>19</v>
      </c>
      <c r="R139" s="42" t="s">
        <v>19</v>
      </c>
      <c r="S139" s="42" t="s">
        <v>19</v>
      </c>
      <c r="T139" s="42" t="s">
        <v>19</v>
      </c>
      <c r="U139" s="42" t="s">
        <v>19</v>
      </c>
      <c r="V139" s="42" t="s">
        <v>19</v>
      </c>
      <c r="W139" s="42" t="s">
        <v>19</v>
      </c>
      <c r="X139" s="42" t="s">
        <v>75</v>
      </c>
    </row>
    <row r="140" spans="1:24">
      <c r="A140" s="42" t="s">
        <v>675</v>
      </c>
      <c r="B140" s="43" t="s">
        <v>918</v>
      </c>
      <c r="C140" s="42" t="s">
        <v>1212</v>
      </c>
      <c r="D140" s="42" t="s">
        <v>20</v>
      </c>
      <c r="E140" s="43" t="s">
        <v>1072</v>
      </c>
      <c r="F140" s="44"/>
      <c r="G140" s="43"/>
      <c r="H140" s="43"/>
      <c r="I140" s="43"/>
      <c r="J140" s="42" t="s">
        <v>1410</v>
      </c>
      <c r="K140" s="43" t="str">
        <f>VLOOKUP(C140,'[1]뷰프레임 전체_상세'!$B:$E,4,0)</f>
        <v>F-230W-224FFKG1R5</v>
      </c>
      <c r="L140" s="52" t="str">
        <f>IF(M140&lt;=0.9,HYPERLINK("http://www.lxhausys.co.kr/popup/rn/download/downloadPopup.jsp?from=plwindow&amp;uu=/upload/window/REPORT/LXH-EA24-129 F-230WF-228FFGS1A5.pdf","1등급"),IF(M140&lt;=1.2,HYPERLINK("http://www.lxhausys.co.kr/popup/rn/download/downloadPopup.jsp?from=plwindow&amp;uu=/upload/window/REPORT/LXH-EA24-129 F-230WF-228FFGS1A5.pdf","2등급"),IF(M140&lt;=1.8,HYPERLINK("http://www.lxhausys.co.kr/popup/rn/download/downloadPopup.jsp?from=plwindow&amp;uu=/upload/window/REPORT/LXH-EA24-129 F-230WF-228FFGS1A5.pdf","3등급"),IF(M140&lt;=2.3,HYPERLINK("http://www.lxhausys.co.kr/popup/rn/download/downloadPopup.jsp?from=plwindow&amp;uu=/upload/window/REPORT/LXH-EA24-129 F-230WF-228FFGS1A5.pdf","4등급"),IF(M140&lt;=2.8,HYPERLINK("http://www.lxhausys.co.kr/popup/rn/download/downloadPopup.jsp?from=plwindow&amp;uu=/upload/window/REPORT/LXH-EA24-129 F-230WF-228FFGS1A5.pdf","5등급"),HYPERLINK("http://www.lxhausys.co.kr/popup/rn/download/downloadPopup.jsp?from=plwindow&amp;uu=/upload/window/REPORT/LXH-TW22-015 S-124-222FFGL1R143.pdf","등급외"))))))</f>
        <v>4등급</v>
      </c>
      <c r="M140" s="45">
        <v>1.853</v>
      </c>
      <c r="N140" s="45">
        <v>1.57</v>
      </c>
      <c r="O140" s="42"/>
      <c r="P140" s="42" t="s">
        <v>103</v>
      </c>
      <c r="Q140" s="42" t="s">
        <v>19</v>
      </c>
      <c r="R140" s="42" t="s">
        <v>19</v>
      </c>
      <c r="S140" s="42" t="s">
        <v>19</v>
      </c>
      <c r="T140" s="42" t="s">
        <v>19</v>
      </c>
      <c r="U140" s="42" t="s">
        <v>19</v>
      </c>
      <c r="V140" s="42" t="s">
        <v>19</v>
      </c>
      <c r="W140" s="42" t="s">
        <v>19</v>
      </c>
      <c r="X140" s="42" t="s">
        <v>75</v>
      </c>
    </row>
    <row r="141" spans="1:24">
      <c r="A141" s="42" t="s">
        <v>697</v>
      </c>
      <c r="B141" s="43" t="s">
        <v>919</v>
      </c>
      <c r="C141" s="42" t="s">
        <v>1215</v>
      </c>
      <c r="D141" s="42" t="s">
        <v>20</v>
      </c>
      <c r="E141" s="43" t="s">
        <v>736</v>
      </c>
      <c r="F141" s="44" t="s">
        <v>749</v>
      </c>
      <c r="G141" s="43"/>
      <c r="H141" s="43"/>
      <c r="I141" s="43"/>
      <c r="J141" s="42" t="s">
        <v>1410</v>
      </c>
      <c r="K141" s="43" t="str">
        <f>VLOOKUP(C141,'[1]뷰프레임 전체_상세'!$B:$E,4,0)</f>
        <v>F-265S-444KGGG2A5</v>
      </c>
      <c r="L141" s="52" t="str">
        <f>IF(M141&lt;=0.9,HYPERLINK("http://www.lxhausys.co.kr/popup/rn/download/downloadPopup.jsp?from=plwindow&amp;uu=/upload/window/REPORT/LXH-EA24-147 F-265S-444KGGG2A5.pdf","1등급"),IF(M141&lt;=1.2,HYPERLINK("http://www.lxhausys.co.kr/popup/rn/download/downloadPopup.jsp?from=plwindow&amp;uu=/upload/window/REPORT/LXH-EA24-147 F-265S-444KGGG2A5.pdf","2등급"),IF(M141&lt;=1.8,HYPERLINK("http://www.lxhausys.co.kr/popup/rn/download/downloadPopup.jsp?from=plwindow&amp;uu=/upload/window/REPORT/LXH-EA24-147 F-265S-444KGGG2A5.pdf","3등급"),IF(M141&lt;=2.3,HYPERLINK("http://www.lxhausys.co.kr/popup/rn/download/downloadPopup.jsp?from=plwindow&amp;uu=/upload/window/REPORT/LXH-EA24-147 F-265S-444KGGG2A5.pdf","4등급"),IF(M141&lt;=2.8,HYPERLINK("http://www.lxhausys.co.kr/popup/rn/download/downloadPopup.jsp?from=plwindow&amp;uu=/upload/window/REPORT/LXH-EA24-147 F-265S-444KGGG2A5.pdf","5등급"),HYPERLINK("http://www.lxhausys.co.kr/popup/rn/download/downloadPopup.jsp?from=plwindow&amp;uu=/upload/window/REPORT/LXH-TW22-015 S-124-222FFGL1R144.pdf","등급외"))))))</f>
        <v>2등급</v>
      </c>
      <c r="M141" s="45">
        <v>0.94399999999999995</v>
      </c>
      <c r="N141" s="45">
        <v>0.84</v>
      </c>
      <c r="O141" s="42"/>
      <c r="P141" s="42" t="s">
        <v>22</v>
      </c>
      <c r="Q141" s="42" t="s">
        <v>19</v>
      </c>
      <c r="R141" s="42" t="s">
        <v>19</v>
      </c>
      <c r="S141" s="42" t="s">
        <v>19</v>
      </c>
      <c r="T141" s="42" t="s">
        <v>19</v>
      </c>
      <c r="U141" s="42" t="s">
        <v>19</v>
      </c>
      <c r="V141" s="42" t="s">
        <v>19</v>
      </c>
      <c r="W141" s="42" t="s">
        <v>19</v>
      </c>
      <c r="X141" s="42" t="s">
        <v>75</v>
      </c>
    </row>
    <row r="142" spans="1:24">
      <c r="A142" s="42" t="s">
        <v>674</v>
      </c>
      <c r="B142" s="43" t="s">
        <v>920</v>
      </c>
      <c r="C142" s="42" t="s">
        <v>1216</v>
      </c>
      <c r="D142" s="42" t="s">
        <v>20</v>
      </c>
      <c r="E142" s="43" t="s">
        <v>1074</v>
      </c>
      <c r="F142" s="44"/>
      <c r="G142" s="43"/>
      <c r="H142" s="43"/>
      <c r="I142" s="43"/>
      <c r="J142" s="42" t="s">
        <v>1410</v>
      </c>
      <c r="K142" s="43" t="str">
        <f>VLOOKUP(C142,'[1]뷰프레임 전체_상세'!$B:$E,4,0)</f>
        <v>F-230W-224FFGS1A5</v>
      </c>
      <c r="L142" s="52" t="str">
        <f>IF(M142&lt;=0.9,HYPERLINK("http://www.lxhausys.co.kr/popup/rn/download/downloadPopup.jsp?from=plwindow&amp;uu=/upload/window/REPORT/LXH-EA24-134 F-230W-224FFGS1A5.pdf","1등급"),IF(M142&lt;=1.2,HYPERLINK("http://www.lxhausys.co.kr/popup/rn/download/downloadPopup.jsp?from=plwindow&amp;uu=/upload/window/REPORT/LXH-EA24-134 F-230W-224FFGS1A5.pdf","2등급"),IF(M142&lt;=1.8,HYPERLINK("http://www.lxhausys.co.kr/popup/rn/download/downloadPopup.jsp?from=plwindow&amp;uu=/upload/window/REPORT/LXH-EA24-134 F-230W-224FFGS1A5.pdf","3등급"),IF(M142&lt;=2.3,HYPERLINK("http://www.lxhausys.co.kr/popup/rn/download/downloadPopup.jsp?from=plwindow&amp;uu=/upload/window/REPORT/LXH-EA24-134 F-230W-224FFGS1A5.pdf","4등급"),IF(M142&lt;=2.8,HYPERLINK("http://www.lxhausys.co.kr/popup/rn/download/downloadPopup.jsp?from=plwindow&amp;uu=/upload/window/REPORT/LXH-EA24-134 F-230W-224FFGS1A5.pdf","5등급"),HYPERLINK("http://www.lxhausys.co.kr/popup/rn/download/downloadPopup.jsp?from=plwindow&amp;uu=/upload/window/REPORT/LXH-TW22-015 S-124-222FFGL1R145.pdf","등급외"))))))</f>
        <v>4등급</v>
      </c>
      <c r="M142" s="45">
        <v>1.843</v>
      </c>
      <c r="N142" s="45">
        <v>1.49</v>
      </c>
      <c r="O142" s="42"/>
      <c r="P142" s="42" t="s">
        <v>103</v>
      </c>
      <c r="Q142" s="42" t="s">
        <v>19</v>
      </c>
      <c r="R142" s="42" t="s">
        <v>19</v>
      </c>
      <c r="S142" s="42" t="s">
        <v>19</v>
      </c>
      <c r="T142" s="42" t="s">
        <v>19</v>
      </c>
      <c r="U142" s="42" t="s">
        <v>19</v>
      </c>
      <c r="V142" s="42" t="s">
        <v>19</v>
      </c>
      <c r="W142" s="42" t="s">
        <v>19</v>
      </c>
      <c r="X142" s="42" t="s">
        <v>75</v>
      </c>
    </row>
    <row r="143" spans="1:24">
      <c r="A143" s="42" t="s">
        <v>671</v>
      </c>
      <c r="B143" s="43" t="s">
        <v>921</v>
      </c>
      <c r="C143" s="42" t="s">
        <v>1217</v>
      </c>
      <c r="D143" s="42" t="s">
        <v>20</v>
      </c>
      <c r="E143" s="43" t="s">
        <v>735</v>
      </c>
      <c r="F143" s="44" t="s">
        <v>745</v>
      </c>
      <c r="G143" s="43"/>
      <c r="H143" s="43"/>
      <c r="I143" s="43"/>
      <c r="J143" s="42" t="s">
        <v>1410</v>
      </c>
      <c r="K143" s="43" t="str">
        <f>VLOOKUP(C143,'[1]뷰프레임 전체_상세'!$B:$E,4,0)</f>
        <v>F-250-488GGGS1R5</v>
      </c>
      <c r="L143" s="52" t="str">
        <f>IF(M143&lt;=0.9,HYPERLINK("http://www.lxhausys.co.kr/popup/rn/download/downloadPopup.jsp?from=plwindow&amp;uu=/upload/window/REPORT/LXH-EA24-174 F-250-488GGGS1R5.pdf","1등급"),IF(M143&lt;=1.2,HYPERLINK("http://www.lxhausys.co.kr/popup/rn/download/downloadPopup.jsp?from=plwindow&amp;uu=/upload/window/REPORT/LXH-EA24-174 F-250-488GGGS1R5.pdf","2등급"),IF(M143&lt;=1.8,HYPERLINK("http://www.lxhausys.co.kr/popup/rn/download/downloadPopup.jsp?from=plwindow&amp;uu=/upload/window/REPORT/LXH-EA24-174 F-250-488GGGS1R5.pdf","3등급"),IF(M143&lt;=2.3,HYPERLINK("http://www.lxhausys.co.kr/popup/rn/download/downloadPopup.jsp?from=plwindow&amp;uu=/upload/window/REPORT/LXH-EA24-174 F-250-488GGGS1R5.pdf","4등급"),IF(M143&lt;=2.8,HYPERLINK("http://www.lxhausys.co.kr/popup/rn/download/downloadPopup.jsp?from=plwindow&amp;uu=/upload/window/REPORT/LXH-EA24-174 F-250-488GGGS1R5.pdf","5등급"),HYPERLINK("http://www.lxhausys.co.kr/popup/rn/download/downloadPopup.jsp?from=plwindow&amp;uu=/upload/window/REPORT/LXH-TW22-015 S-124-222FFGL1R146.pdf","등급외"))))))</f>
        <v>1등급</v>
      </c>
      <c r="M143" s="45">
        <v>0.747</v>
      </c>
      <c r="N143" s="45">
        <v>0.81</v>
      </c>
      <c r="O143" s="42"/>
      <c r="P143" s="42" t="s">
        <v>22</v>
      </c>
      <c r="Q143" s="42" t="s">
        <v>19</v>
      </c>
      <c r="R143" s="42" t="s">
        <v>19</v>
      </c>
      <c r="S143" s="42" t="s">
        <v>19</v>
      </c>
      <c r="T143" s="42" t="s">
        <v>19</v>
      </c>
      <c r="U143" s="42" t="s">
        <v>19</v>
      </c>
      <c r="V143" s="42" t="s">
        <v>19</v>
      </c>
      <c r="W143" s="42" t="s">
        <v>19</v>
      </c>
      <c r="X143" s="42" t="s">
        <v>75</v>
      </c>
    </row>
    <row r="144" spans="1:24">
      <c r="A144" s="42" t="s">
        <v>679</v>
      </c>
      <c r="B144" s="43" t="s">
        <v>922</v>
      </c>
      <c r="C144" s="42" t="s">
        <v>1218</v>
      </c>
      <c r="D144" s="42" t="s">
        <v>20</v>
      </c>
      <c r="E144" s="43" t="s">
        <v>731</v>
      </c>
      <c r="F144" s="44" t="s">
        <v>743</v>
      </c>
      <c r="G144" s="43"/>
      <c r="H144" s="43"/>
      <c r="I144" s="43"/>
      <c r="J144" s="42" t="s">
        <v>1410</v>
      </c>
      <c r="K144" s="43" t="str">
        <f>VLOOKUP(C144,'[1]뷰프레임 전체_상세'!$B:$E,4,0)</f>
        <v>F-250S-466GGGG2A5</v>
      </c>
      <c r="L144" s="52" t="str">
        <f>IF(M144&lt;=0.9,HYPERLINK("http://www.lxhausys.co.kr/popup/rn/download/downloadPopup.jsp?from=plwindow&amp;uu=/upload/window/REPORT/LXH-EA24-173 F-250S-466GGGG2A5.pdf","1등급"),IF(M144&lt;=1.2,HYPERLINK("http://www.lxhausys.co.kr/popup/rn/download/downloadPopup.jsp?from=plwindow&amp;uu=/upload/window/REPORT/LXH-EA24-173 F-250S-466GGGG2A5.pdf","2등급"),IF(M144&lt;=1.8,HYPERLINK("http://www.lxhausys.co.kr/popup/rn/download/downloadPopup.jsp?from=plwindow&amp;uu=/upload/window/REPORT/LXH-EA24-173 F-250S-466GGGG2A5.pdf","3등급"),IF(M144&lt;=2.3,HYPERLINK("http://www.lxhausys.co.kr/popup/rn/download/downloadPopup.jsp?from=plwindow&amp;uu=/upload/window/REPORT/LXH-EA24-173 F-250S-466GGGG2A5.pdf","4등급"),IF(M144&lt;=2.8,HYPERLINK("http://www.lxhausys.co.kr/popup/rn/download/downloadPopup.jsp?from=plwindow&amp;uu=/upload/window/REPORT/LXH-EA24-173 F-250S-466GGGG2A5.pdf","5등급"),HYPERLINK("http://www.lxhausys.co.kr/popup/rn/download/downloadPopup.jsp?from=plwindow&amp;uu=/upload/window/REPORT/LXH-TW22-015 S-124-222FFGL1R147.pdf","등급외"))))))</f>
        <v>3등급</v>
      </c>
      <c r="M144" s="45">
        <v>1.238</v>
      </c>
      <c r="N144" s="45">
        <v>0.79</v>
      </c>
      <c r="O144" s="42"/>
      <c r="P144" s="42" t="s">
        <v>22</v>
      </c>
      <c r="Q144" s="42" t="s">
        <v>19</v>
      </c>
      <c r="R144" s="42" t="s">
        <v>19</v>
      </c>
      <c r="S144" s="42" t="s">
        <v>19</v>
      </c>
      <c r="T144" s="42" t="s">
        <v>19</v>
      </c>
      <c r="U144" s="42" t="s">
        <v>19</v>
      </c>
      <c r="V144" s="42" t="s">
        <v>19</v>
      </c>
      <c r="W144" s="42" t="s">
        <v>19</v>
      </c>
      <c r="X144" s="42" t="s">
        <v>75</v>
      </c>
    </row>
    <row r="145" spans="1:24">
      <c r="A145" s="42" t="s">
        <v>671</v>
      </c>
      <c r="B145" s="43" t="s">
        <v>923</v>
      </c>
      <c r="C145" s="42" t="s">
        <v>1219</v>
      </c>
      <c r="D145" s="42" t="s">
        <v>20</v>
      </c>
      <c r="E145" s="43" t="s">
        <v>739</v>
      </c>
      <c r="F145" s="44" t="s">
        <v>749</v>
      </c>
      <c r="G145" s="43"/>
      <c r="H145" s="43"/>
      <c r="I145" s="43"/>
      <c r="J145" s="42" t="s">
        <v>1410</v>
      </c>
      <c r="K145" s="43" t="str">
        <f>VLOOKUP(C145,'[1]뷰프레임 전체_상세'!$B:$E,4,0)</f>
        <v>F-250-444GGGG2A5</v>
      </c>
      <c r="L145" s="52" t="str">
        <f>IF(M145&lt;=0.9,HYPERLINK("http://www.lxhausys.co.kr/popup/rn/download/downloadPopup.jsp?from=plwindow&amp;uu=/upload/window/REPORT/LXH-EA24-172 F-250-444GGGG2A5.pdf","1등급"),IF(M145&lt;=1.2,HYPERLINK("http://www.lxhausys.co.kr/popup/rn/download/downloadPopup.jsp?from=plwindow&amp;uu=/upload/window/REPORT/LXH-EA24-172 F-250-444GGGG2A5.pdf","2등급"),IF(M145&lt;=1.8,HYPERLINK("http://www.lxhausys.co.kr/popup/rn/download/downloadPopup.jsp?from=plwindow&amp;uu=/upload/window/REPORT/LXH-EA24-172 F-250-444GGGG2A5.pdf","3등급"),IF(M145&lt;=2.3,HYPERLINK("http://www.lxhausys.co.kr/popup/rn/download/downloadPopup.jsp?from=plwindow&amp;uu=/upload/window/REPORT/LXH-EA24-172 F-250-444GGGG2A5.pdf","4등급"),IF(M145&lt;=2.8,HYPERLINK("http://www.lxhausys.co.kr/popup/rn/download/downloadPopup.jsp?from=plwindow&amp;uu=/upload/window/REPORT/LXH-EA24-172 F-250-444GGGG2A5.pdf","5등급"),HYPERLINK("http://www.lxhausys.co.kr/popup/rn/download/downloadPopup.jsp?from=plwindow&amp;uu=/upload/window/REPORT/LXH-TW22-015 S-124-222FFGL1R148.pdf","등급외"))))))</f>
        <v>3등급</v>
      </c>
      <c r="M145" s="45">
        <v>1.22</v>
      </c>
      <c r="N145" s="45">
        <v>0.8</v>
      </c>
      <c r="O145" s="42"/>
      <c r="P145" s="42" t="s">
        <v>22</v>
      </c>
      <c r="Q145" s="42" t="s">
        <v>19</v>
      </c>
      <c r="R145" s="42" t="s">
        <v>19</v>
      </c>
      <c r="S145" s="42" t="s">
        <v>19</v>
      </c>
      <c r="T145" s="42" t="s">
        <v>19</v>
      </c>
      <c r="U145" s="42" t="s">
        <v>19</v>
      </c>
      <c r="V145" s="42" t="s">
        <v>19</v>
      </c>
      <c r="W145" s="42" t="s">
        <v>19</v>
      </c>
      <c r="X145" s="42" t="s">
        <v>75</v>
      </c>
    </row>
    <row r="146" spans="1:24">
      <c r="A146" s="42" t="s">
        <v>671</v>
      </c>
      <c r="B146" s="43" t="s">
        <v>924</v>
      </c>
      <c r="C146" s="42" t="s">
        <v>1220</v>
      </c>
      <c r="D146" s="42" t="s">
        <v>20</v>
      </c>
      <c r="E146" s="43" t="s">
        <v>735</v>
      </c>
      <c r="F146" s="44" t="s">
        <v>747</v>
      </c>
      <c r="G146" s="43"/>
      <c r="H146" s="43"/>
      <c r="I146" s="43"/>
      <c r="J146" s="42" t="s">
        <v>1410</v>
      </c>
      <c r="K146" s="43" t="str">
        <f>VLOOKUP(C146,'[1]뷰프레임 전체_상세'!$B:$E,4,0)</f>
        <v>F-250-488GGGG2A5</v>
      </c>
      <c r="L146" s="52" t="str">
        <f>IF(M146&lt;=0.9,HYPERLINK("http://www.lxhausys.co.kr/popup/rn/download/downloadPopup.jsp?from=plwindow&amp;uu=/upload/window/REPORT/LXH-EA24-171 F-250-488GGGG2A5.pdf","1등급"),IF(M146&lt;=1.2,HYPERLINK("http://www.lxhausys.co.kr/popup/rn/download/downloadPopup.jsp?from=plwindow&amp;uu=/upload/window/REPORT/LXH-EA24-171 F-250-488GGGG2A5.pdf","2등급"),IF(M146&lt;=1.8,HYPERLINK("http://www.lxhausys.co.kr/popup/rn/download/downloadPopup.jsp?from=plwindow&amp;uu=/upload/window/REPORT/LXH-EA24-171 F-250-488GGGG2A5.pdf","3등급"),IF(M146&lt;=2.3,HYPERLINK("http://www.lxhausys.co.kr/popup/rn/download/downloadPopup.jsp?from=plwindow&amp;uu=/upload/window/REPORT/LXH-EA24-171 F-250-488GGGG2A5.pdf","4등급"),IF(M146&lt;=2.8,HYPERLINK("http://www.lxhausys.co.kr/popup/rn/download/downloadPopup.jsp?from=plwindow&amp;uu=/upload/window/REPORT/LXH-EA24-171 F-250-488GGGG2A5.pdf","5등급"),HYPERLINK("http://www.lxhausys.co.kr/popup/rn/download/downloadPopup.jsp?from=plwindow&amp;uu=/upload/window/REPORT/LXH-TW22-015 S-124-222FFGL1R149.pdf","등급외"))))))</f>
        <v>2등급</v>
      </c>
      <c r="M146" s="45">
        <v>1.1719999999999999</v>
      </c>
      <c r="N146" s="45">
        <v>0.73</v>
      </c>
      <c r="O146" s="42"/>
      <c r="P146" s="42" t="s">
        <v>22</v>
      </c>
      <c r="Q146" s="42" t="s">
        <v>19</v>
      </c>
      <c r="R146" s="42" t="s">
        <v>19</v>
      </c>
      <c r="S146" s="42" t="s">
        <v>19</v>
      </c>
      <c r="T146" s="42" t="s">
        <v>19</v>
      </c>
      <c r="U146" s="42" t="s">
        <v>19</v>
      </c>
      <c r="V146" s="42" t="s">
        <v>19</v>
      </c>
      <c r="W146" s="42" t="s">
        <v>19</v>
      </c>
      <c r="X146" s="42" t="s">
        <v>75</v>
      </c>
    </row>
    <row r="147" spans="1:24">
      <c r="A147" s="42" t="s">
        <v>679</v>
      </c>
      <c r="B147" s="43" t="s">
        <v>925</v>
      </c>
      <c r="C147" s="42" t="s">
        <v>1221</v>
      </c>
      <c r="D147" s="42" t="s">
        <v>20</v>
      </c>
      <c r="E147" s="43" t="s">
        <v>739</v>
      </c>
      <c r="F147" s="44" t="s">
        <v>749</v>
      </c>
      <c r="G147" s="43"/>
      <c r="H147" s="43"/>
      <c r="I147" s="43"/>
      <c r="J147" s="42" t="s">
        <v>1410</v>
      </c>
      <c r="K147" s="43" t="str">
        <f>VLOOKUP(C147,'[1]뷰프레임 전체_상세'!$B:$E,4,0)</f>
        <v>F-250S-444GGGG2A5</v>
      </c>
      <c r="L147" s="52" t="str">
        <f>IF(M147&lt;=0.9,HYPERLINK("http://www.lxhausys.co.kr/popup/rn/download/downloadPopup.jsp?from=plwindow&amp;uu=/upload/window/REPORT/LXH-EA24-170 F-250S-444GGGG2A5.pdf","1등급"),IF(M147&lt;=1.2,HYPERLINK("http://www.lxhausys.co.kr/popup/rn/download/downloadPopup.jsp?from=plwindow&amp;uu=/upload/window/REPORT/LXH-EA24-170 F-250S-444GGGG2A5.pdf","2등급"),IF(M147&lt;=1.8,HYPERLINK("http://www.lxhausys.co.kr/popup/rn/download/downloadPopup.jsp?from=plwindow&amp;uu=/upload/window/REPORT/LXH-EA24-170 F-250S-444GGGG2A5.pdf","3등급"),IF(M147&lt;=2.3,HYPERLINK("http://www.lxhausys.co.kr/popup/rn/download/downloadPopup.jsp?from=plwindow&amp;uu=/upload/window/REPORT/LXH-EA24-170 F-250S-444GGGG2A5.pdf","4등급"),IF(M147&lt;=2.8,HYPERLINK("http://www.lxhausys.co.kr/popup/rn/download/downloadPopup.jsp?from=plwindow&amp;uu=/upload/window/REPORT/LXH-EA24-170 F-250S-444GGGG2A5.pdf","5등급"),HYPERLINK("http://www.lxhausys.co.kr/popup/rn/download/downloadPopup.jsp?from=plwindow&amp;uu=/upload/window/REPORT/LXH-TW22-015 S-124-222FFGL1R150.pdf","등급외"))))))</f>
        <v>3등급</v>
      </c>
      <c r="M147" s="45">
        <v>1.2450000000000001</v>
      </c>
      <c r="N147" s="45">
        <v>0.79</v>
      </c>
      <c r="O147" s="42"/>
      <c r="P147" s="42" t="s">
        <v>22</v>
      </c>
      <c r="Q147" s="42" t="s">
        <v>19</v>
      </c>
      <c r="R147" s="42" t="s">
        <v>19</v>
      </c>
      <c r="S147" s="42" t="s">
        <v>19</v>
      </c>
      <c r="T147" s="42" t="s">
        <v>19</v>
      </c>
      <c r="U147" s="42" t="s">
        <v>19</v>
      </c>
      <c r="V147" s="42" t="s">
        <v>19</v>
      </c>
      <c r="W147" s="42" t="s">
        <v>19</v>
      </c>
      <c r="X147" s="42" t="s">
        <v>75</v>
      </c>
    </row>
    <row r="148" spans="1:24">
      <c r="A148" s="42" t="s">
        <v>679</v>
      </c>
      <c r="B148" s="43" t="s">
        <v>926</v>
      </c>
      <c r="C148" s="42" t="s">
        <v>1222</v>
      </c>
      <c r="D148" s="42" t="s">
        <v>20</v>
      </c>
      <c r="E148" s="43" t="s">
        <v>735</v>
      </c>
      <c r="F148" s="44" t="s">
        <v>747</v>
      </c>
      <c r="G148" s="43"/>
      <c r="H148" s="43"/>
      <c r="I148" s="43"/>
      <c r="J148" s="42" t="s">
        <v>1410</v>
      </c>
      <c r="K148" s="43" t="str">
        <f>VLOOKUP(C148,'[1]뷰프레임 전체_상세'!$B:$E,4,0)</f>
        <v>F-250S-488GGGG2A5</v>
      </c>
      <c r="L148" s="52" t="str">
        <f>IF(M148&lt;=0.9,HYPERLINK("http://www.lxhausys.co.kr/popup/rn/download/downloadPopup.jsp?from=plwindow&amp;uu=/upload/window/REPORT/LXH-EA24-169 F-250S-488GGGG2A5.pdf","1등급"),IF(M148&lt;=1.2,HYPERLINK("http://www.lxhausys.co.kr/popup/rn/download/downloadPopup.jsp?from=plwindow&amp;uu=/upload/window/REPORT/LXH-EA24-169 F-250S-488GGGG2A5.pdf","2등급"),IF(M148&lt;=1.8,HYPERLINK("http://www.lxhausys.co.kr/popup/rn/download/downloadPopup.jsp?from=plwindow&amp;uu=/upload/window/REPORT/LXH-EA24-169 F-250S-488GGGG2A5.pdf","3등급"),IF(M148&lt;=2.3,HYPERLINK("http://www.lxhausys.co.kr/popup/rn/download/downloadPopup.jsp?from=plwindow&amp;uu=/upload/window/REPORT/LXH-EA24-169 F-250S-488GGGG2A5.pdf","4등급"),IF(M148&lt;=2.8,HYPERLINK("http://www.lxhausys.co.kr/popup/rn/download/downloadPopup.jsp?from=plwindow&amp;uu=/upload/window/REPORT/LXH-EA24-169 F-250S-488GGGG2A5.pdf","5등급"),HYPERLINK("http://www.lxhausys.co.kr/popup/rn/download/downloadPopup.jsp?from=plwindow&amp;uu=/upload/window/REPORT/LXH-TW22-015 S-124-222FFGL1R151.pdf","등급외"))))))</f>
        <v>3등급</v>
      </c>
      <c r="M148" s="45">
        <v>1.214</v>
      </c>
      <c r="N148" s="45">
        <v>0.8</v>
      </c>
      <c r="O148" s="42"/>
      <c r="P148" s="42" t="s">
        <v>22</v>
      </c>
      <c r="Q148" s="42" t="s">
        <v>19</v>
      </c>
      <c r="R148" s="42" t="s">
        <v>19</v>
      </c>
      <c r="S148" s="42" t="s">
        <v>19</v>
      </c>
      <c r="T148" s="42" t="s">
        <v>19</v>
      </c>
      <c r="U148" s="42" t="s">
        <v>19</v>
      </c>
      <c r="V148" s="42" t="s">
        <v>19</v>
      </c>
      <c r="W148" s="42" t="s">
        <v>19</v>
      </c>
      <c r="X148" s="42" t="s">
        <v>75</v>
      </c>
    </row>
    <row r="149" spans="1:24">
      <c r="A149" s="42" t="s">
        <v>671</v>
      </c>
      <c r="B149" s="43" t="s">
        <v>927</v>
      </c>
      <c r="C149" s="42" t="s">
        <v>1223</v>
      </c>
      <c r="D149" s="42" t="s">
        <v>20</v>
      </c>
      <c r="E149" s="43" t="s">
        <v>731</v>
      </c>
      <c r="F149" s="44" t="s">
        <v>743</v>
      </c>
      <c r="G149" s="43"/>
      <c r="H149" s="43"/>
      <c r="I149" s="43"/>
      <c r="J149" s="42" t="s">
        <v>1410</v>
      </c>
      <c r="K149" s="43" t="str">
        <f>VLOOKUP(C149,'[1]뷰프레임 전체_상세'!$B:$E,4,0)</f>
        <v>F-250-466GGGG2A5</v>
      </c>
      <c r="L149" s="52" t="str">
        <f>IF(M149&lt;=0.9,HYPERLINK("http://www.lxhausys.co.kr/popup/rn/download/downloadPopup.jsp?from=plwindow&amp;uu=/upload/window/REPORT/LXH-EA24-168 F-250-466GGGG2A5.pdf","1등급"),IF(M149&lt;=1.2,HYPERLINK("http://www.lxhausys.co.kr/popup/rn/download/downloadPopup.jsp?from=plwindow&amp;uu=/upload/window/REPORT/LXH-EA24-168 F-250-466GGGG2A5.pdf","2등급"),IF(M149&lt;=1.8,HYPERLINK("http://www.lxhausys.co.kr/popup/rn/download/downloadPopup.jsp?from=plwindow&amp;uu=/upload/window/REPORT/LXH-EA24-168 F-250-466GGGG2A5.pdf","3등급"),IF(M149&lt;=2.3,HYPERLINK("http://www.lxhausys.co.kr/popup/rn/download/downloadPopup.jsp?from=plwindow&amp;uu=/upload/window/REPORT/LXH-EA24-168 F-250-466GGGG2A5.pdf","4등급"),IF(M149&lt;=2.8,HYPERLINK("http://www.lxhausys.co.kr/popup/rn/download/downloadPopup.jsp?from=plwindow&amp;uu=/upload/window/REPORT/LXH-EA24-168 F-250-466GGGG2A5.pdf","5등급"),HYPERLINK("http://www.lxhausys.co.kr/popup/rn/download/downloadPopup.jsp?from=plwindow&amp;uu=/upload/window/REPORT/LXH-TW22-015 S-124-222FFGL1R152.pdf","등급외"))))))</f>
        <v>2등급</v>
      </c>
      <c r="M149" s="45">
        <v>1.129</v>
      </c>
      <c r="N149" s="45">
        <v>0.78</v>
      </c>
      <c r="O149" s="42"/>
      <c r="P149" s="42" t="s">
        <v>22</v>
      </c>
      <c r="Q149" s="42" t="s">
        <v>19</v>
      </c>
      <c r="R149" s="42" t="s">
        <v>19</v>
      </c>
      <c r="S149" s="42" t="s">
        <v>19</v>
      </c>
      <c r="T149" s="42" t="s">
        <v>19</v>
      </c>
      <c r="U149" s="42" t="s">
        <v>19</v>
      </c>
      <c r="V149" s="42" t="s">
        <v>19</v>
      </c>
      <c r="W149" s="42" t="s">
        <v>19</v>
      </c>
      <c r="X149" s="42" t="s">
        <v>75</v>
      </c>
    </row>
    <row r="150" spans="1:24">
      <c r="A150" s="42" t="s">
        <v>679</v>
      </c>
      <c r="B150" s="43" t="s">
        <v>928</v>
      </c>
      <c r="C150" s="42" t="s">
        <v>1224</v>
      </c>
      <c r="D150" s="42" t="s">
        <v>20</v>
      </c>
      <c r="E150" s="43" t="s">
        <v>733</v>
      </c>
      <c r="F150" s="44" t="s">
        <v>747</v>
      </c>
      <c r="G150" s="43"/>
      <c r="H150" s="43"/>
      <c r="I150" s="43"/>
      <c r="J150" s="42" t="s">
        <v>1410</v>
      </c>
      <c r="K150" s="43" t="str">
        <f>VLOOKUP(C150,'[1]뷰프레임 전체_상세'!$B:$E,4,0)</f>
        <v>F-250S-488KGGG1R5</v>
      </c>
      <c r="L150" s="52" t="str">
        <f>IF(M150&lt;=0.9,HYPERLINK("http://www.lxhausys.co.kr/popup/rn/download/downloadPopup.jsp?from=plwindow&amp;uu=/upload/window/REPORT/LXH-EA24-167 F-250S-488KGGG1R5.pdf","1등급"),IF(M150&lt;=1.2,HYPERLINK("http://www.lxhausys.co.kr/popup/rn/download/downloadPopup.jsp?from=plwindow&amp;uu=/upload/window/REPORT/LXH-EA24-167 F-250S-488KGGG1R5.pdf","2등급"),IF(M150&lt;=1.8,HYPERLINK("http://www.lxhausys.co.kr/popup/rn/download/downloadPopup.jsp?from=plwindow&amp;uu=/upload/window/REPORT/LXH-EA24-167 F-250S-488KGGG1R5.pdf","3등급"),IF(M150&lt;=2.3,HYPERLINK("http://www.lxhausys.co.kr/popup/rn/download/downloadPopup.jsp?from=plwindow&amp;uu=/upload/window/REPORT/LXH-EA24-167 F-250S-488KGGG1R5.pdf","4등급"),IF(M150&lt;=2.8,HYPERLINK("http://www.lxhausys.co.kr/popup/rn/download/downloadPopup.jsp?from=plwindow&amp;uu=/upload/window/REPORT/LXH-EA24-167 F-250S-488KGGG1R5.pdf","5등급"),HYPERLINK("http://www.lxhausys.co.kr/popup/rn/download/downloadPopup.jsp?from=plwindow&amp;uu=/upload/window/REPORT/LXH-TW22-015 S-124-222FFGL1R153.pdf","등급외"))))))</f>
        <v>1등급</v>
      </c>
      <c r="M150" s="45">
        <v>0.80300000000000005</v>
      </c>
      <c r="N150" s="45">
        <v>0.77</v>
      </c>
      <c r="O150" s="42"/>
      <c r="P150" s="42" t="s">
        <v>22</v>
      </c>
      <c r="Q150" s="42" t="s">
        <v>19</v>
      </c>
      <c r="R150" s="42" t="s">
        <v>19</v>
      </c>
      <c r="S150" s="42" t="s">
        <v>19</v>
      </c>
      <c r="T150" s="42" t="s">
        <v>19</v>
      </c>
      <c r="U150" s="42" t="s">
        <v>19</v>
      </c>
      <c r="V150" s="42" t="s">
        <v>19</v>
      </c>
      <c r="W150" s="42" t="s">
        <v>19</v>
      </c>
      <c r="X150" s="42" t="s">
        <v>75</v>
      </c>
    </row>
    <row r="151" spans="1:24">
      <c r="A151" s="42" t="s">
        <v>679</v>
      </c>
      <c r="B151" s="43" t="s">
        <v>929</v>
      </c>
      <c r="C151" s="42" t="s">
        <v>1225</v>
      </c>
      <c r="D151" s="42" t="s">
        <v>20</v>
      </c>
      <c r="E151" s="43" t="s">
        <v>735</v>
      </c>
      <c r="F151" s="44" t="s">
        <v>745</v>
      </c>
      <c r="G151" s="43"/>
      <c r="H151" s="43"/>
      <c r="I151" s="43"/>
      <c r="J151" s="42" t="s">
        <v>1410</v>
      </c>
      <c r="K151" s="43" t="str">
        <f>VLOOKUP(C151,'[1]뷰프레임 전체_상세'!$B:$E,4,0)</f>
        <v>F-250S-488GGGS1R5</v>
      </c>
      <c r="L151" s="52" t="str">
        <f>IF(M151&lt;=0.9,HYPERLINK("http://www.lxhausys.co.kr/popup/rn/download/downloadPopup.jsp?from=plwindow&amp;uu=/upload/window/REPORT/LXH-EA24-166 F-250S-488GGGS1R5.pdf","1등급"),IF(M151&lt;=1.2,HYPERLINK("http://www.lxhausys.co.kr/popup/rn/download/downloadPopup.jsp?from=plwindow&amp;uu=/upload/window/REPORT/LXH-EA24-166 F-250S-488GGGS1R5.pdf","2등급"),IF(M151&lt;=1.8,HYPERLINK("http://www.lxhausys.co.kr/popup/rn/download/downloadPopup.jsp?from=plwindow&amp;uu=/upload/window/REPORT/LXH-EA24-166 F-250S-488GGGS1R5.pdf","3등급"),IF(M151&lt;=2.3,HYPERLINK("http://www.lxhausys.co.kr/popup/rn/download/downloadPopup.jsp?from=plwindow&amp;uu=/upload/window/REPORT/LXH-EA24-166 F-250S-488GGGS1R5.pdf","4등급"),IF(M151&lt;=2.8,HYPERLINK("http://www.lxhausys.co.kr/popup/rn/download/downloadPopup.jsp?from=plwindow&amp;uu=/upload/window/REPORT/LXH-EA24-166 F-250S-488GGGS1R5.pdf","5등급"),HYPERLINK("http://www.lxhausys.co.kr/popup/rn/download/downloadPopup.jsp?from=plwindow&amp;uu=/upload/window/REPORT/LXH-TW22-015 S-124-222FFGL1R154.pdf","등급외"))))))</f>
        <v>1등급</v>
      </c>
      <c r="M151" s="45">
        <v>0.81399999999999995</v>
      </c>
      <c r="N151" s="45">
        <v>0.81</v>
      </c>
      <c r="O151" s="42"/>
      <c r="P151" s="42" t="s">
        <v>22</v>
      </c>
      <c r="Q151" s="42" t="s">
        <v>19</v>
      </c>
      <c r="R151" s="42" t="s">
        <v>19</v>
      </c>
      <c r="S151" s="42" t="s">
        <v>19</v>
      </c>
      <c r="T151" s="42" t="s">
        <v>19</v>
      </c>
      <c r="U151" s="42" t="s">
        <v>19</v>
      </c>
      <c r="V151" s="42" t="s">
        <v>19</v>
      </c>
      <c r="W151" s="42" t="s">
        <v>19</v>
      </c>
      <c r="X151" s="42" t="s">
        <v>75</v>
      </c>
    </row>
    <row r="152" spans="1:24">
      <c r="A152" s="42" t="s">
        <v>672</v>
      </c>
      <c r="B152" s="43" t="s">
        <v>930</v>
      </c>
      <c r="C152" s="42" t="s">
        <v>1226</v>
      </c>
      <c r="D152" s="42" t="s">
        <v>20</v>
      </c>
      <c r="E152" s="43" t="s">
        <v>720</v>
      </c>
      <c r="F152" s="44"/>
      <c r="G152" s="43"/>
      <c r="H152" s="43"/>
      <c r="I152" s="43"/>
      <c r="J152" s="42" t="s">
        <v>1410</v>
      </c>
      <c r="K152" s="43" t="str">
        <f>VLOOKUP(C152,'[1]뷰프레임 전체_상세'!$B:$E,4,0)</f>
        <v>F-140-224FFGG1A5</v>
      </c>
      <c r="L152" s="52" t="str">
        <f>IF(M152&lt;=0.9,HYPERLINK("http://www.lxhausys.co.kr/popup/rn/download/downloadPopup.jsp?from=plwindow&amp;uu=/upload/window/REPORT/LXH-EA24-178 F-140-224FFGG1A5.pdf","1등급"),IF(M152&lt;=1.2,HYPERLINK("http://www.lxhausys.co.kr/popup/rn/download/downloadPopup.jsp?from=plwindow&amp;uu=/upload/window/REPORT/LXH-EA24-178 F-140-224FFGG1A5.pdf","2등급"),IF(M152&lt;=1.8,HYPERLINK("http://www.lxhausys.co.kr/popup/rn/download/downloadPopup.jsp?from=plwindow&amp;uu=/upload/window/REPORT/LXH-EA24-178 F-140-224FFGG1A5.pdf","3등급"),IF(M152&lt;=2.3,HYPERLINK("http://www.lxhausys.co.kr/popup/rn/download/downloadPopup.jsp?from=plwindow&amp;uu=/upload/window/REPORT/LXH-EA24-178 F-140-224FFGG1A5.pdf","4등급"),IF(M152&lt;=2.8,HYPERLINK("http://www.lxhausys.co.kr/popup/rn/download/downloadPopup.jsp?from=plwindow&amp;uu=/upload/window/REPORT/LXH-EA24-178 F-140-224FFGG1A5.pdf","5등급"),HYPERLINK("http://www.lxhausys.co.kr/popup/rn/download/downloadPopup.jsp?from=plwindow&amp;uu=/upload/window/REPORT/LXH-TW22-015 S-124-222FFGL1R155.pdf","등급외"))))))</f>
        <v>5등급</v>
      </c>
      <c r="M152" s="45">
        <v>2.7080000000000002</v>
      </c>
      <c r="N152" s="45">
        <v>1.45</v>
      </c>
      <c r="O152" s="42"/>
      <c r="P152" s="42" t="s">
        <v>103</v>
      </c>
      <c r="Q152" s="42" t="s">
        <v>19</v>
      </c>
      <c r="R152" s="42" t="s">
        <v>19</v>
      </c>
      <c r="S152" s="42" t="s">
        <v>19</v>
      </c>
      <c r="T152" s="42" t="s">
        <v>19</v>
      </c>
      <c r="U152" s="42" t="s">
        <v>19</v>
      </c>
      <c r="V152" s="42" t="s">
        <v>19</v>
      </c>
      <c r="W152" s="42" t="s">
        <v>19</v>
      </c>
      <c r="X152" s="42" t="s">
        <v>75</v>
      </c>
    </row>
    <row r="153" spans="1:24">
      <c r="A153" s="42" t="s">
        <v>672</v>
      </c>
      <c r="B153" s="43" t="s">
        <v>931</v>
      </c>
      <c r="C153" s="42" t="s">
        <v>1227</v>
      </c>
      <c r="D153" s="42" t="s">
        <v>20</v>
      </c>
      <c r="E153" s="43" t="s">
        <v>723</v>
      </c>
      <c r="F153" s="44"/>
      <c r="G153" s="43"/>
      <c r="H153" s="43"/>
      <c r="I153" s="43"/>
      <c r="J153" s="42" t="s">
        <v>1410</v>
      </c>
      <c r="K153" s="43" t="str">
        <f>VLOOKUP(C153,'[1]뷰프레임 전체_상세'!$B:$E,4,0)</f>
        <v>F-140-228FFGG1A5</v>
      </c>
      <c r="L153" s="52" t="str">
        <f>IF(M153&lt;=0.9,HYPERLINK("http://www.lxhausys.co.kr/popup/rn/download/downloadPopup.jsp?from=plwindow&amp;uu=/upload/window/REPORT/LXH-EA24-177 F-140-228FFGG1A5.pdf","1등급"),IF(M153&lt;=1.2,HYPERLINK("http://www.lxhausys.co.kr/popup/rn/download/downloadPopup.jsp?from=plwindow&amp;uu=/upload/window/REPORT/LXH-EA24-177 F-140-228FFGG1A5.pdf","2등급"),IF(M153&lt;=1.8,HYPERLINK("http://www.lxhausys.co.kr/popup/rn/download/downloadPopup.jsp?from=plwindow&amp;uu=/upload/window/REPORT/LXH-EA24-177 F-140-228FFGG1A5.pdf","3등급"),IF(M153&lt;=2.3,HYPERLINK("http://www.lxhausys.co.kr/popup/rn/download/downloadPopup.jsp?from=plwindow&amp;uu=/upload/window/REPORT/LXH-EA24-177 F-140-228FFGG1A5.pdf","4등급"),IF(M153&lt;=2.8,HYPERLINK("http://www.lxhausys.co.kr/popup/rn/download/downloadPopup.jsp?from=plwindow&amp;uu=/upload/window/REPORT/LXH-EA24-177 F-140-228FFGG1A5.pdf","5등급"),HYPERLINK("http://www.lxhausys.co.kr/popup/rn/download/downloadPopup.jsp?from=plwindow&amp;uu=/upload/window/REPORT/LXH-TW22-015 S-124-222FFGL1R156.pdf","등급외"))))))</f>
        <v>5등급</v>
      </c>
      <c r="M153" s="45">
        <v>2.6080000000000001</v>
      </c>
      <c r="N153" s="45">
        <v>1.4</v>
      </c>
      <c r="O153" s="42"/>
      <c r="P153" s="42" t="s">
        <v>103</v>
      </c>
      <c r="Q153" s="42" t="s">
        <v>19</v>
      </c>
      <c r="R153" s="42" t="s">
        <v>19</v>
      </c>
      <c r="S153" s="42" t="s">
        <v>19</v>
      </c>
      <c r="T153" s="42" t="s">
        <v>19</v>
      </c>
      <c r="U153" s="42" t="s">
        <v>19</v>
      </c>
      <c r="V153" s="42" t="s">
        <v>19</v>
      </c>
      <c r="W153" s="42" t="s">
        <v>19</v>
      </c>
      <c r="X153" s="42" t="s">
        <v>75</v>
      </c>
    </row>
    <row r="154" spans="1:24">
      <c r="A154" s="42" t="s">
        <v>678</v>
      </c>
      <c r="B154" s="43" t="s">
        <v>932</v>
      </c>
      <c r="C154" s="42" t="s">
        <v>1228</v>
      </c>
      <c r="D154" s="42" t="s">
        <v>20</v>
      </c>
      <c r="E154" s="43" t="s">
        <v>720</v>
      </c>
      <c r="F154" s="44"/>
      <c r="G154" s="43"/>
      <c r="H154" s="43"/>
      <c r="I154" s="43"/>
      <c r="J154" s="42" t="s">
        <v>1410</v>
      </c>
      <c r="K154" s="43" t="str">
        <f>VLOOKUP(C154,'[1]뷰프레임 전체_상세'!$B:$E,4,0)</f>
        <v>F-140S-224FFGG1A5</v>
      </c>
      <c r="L154" s="52" t="str">
        <f>IF(M154&lt;=0.9,HYPERLINK("http://www.lxhausys.co.kr/popup/rn/download/downloadPopup.jsp?from=plwindow&amp;uu=/upload/window/REPORT/LXH-EA24-176 F-140S-224FFGG1A5.pdf","1등급"),IF(M154&lt;=1.2,HYPERLINK("http://www.lxhausys.co.kr/popup/rn/download/downloadPopup.jsp?from=plwindow&amp;uu=/upload/window/REPORT/LXH-EA24-176 F-140S-224FFGG1A5.pdf","2등급"),IF(M154&lt;=1.8,HYPERLINK("http://www.lxhausys.co.kr/popup/rn/download/downloadPopup.jsp?from=plwindow&amp;uu=/upload/window/REPORT/LXH-EA24-176 F-140S-224FFGG1A5.pdf","3등급"),IF(M154&lt;=2.3,HYPERLINK("http://www.lxhausys.co.kr/popup/rn/download/downloadPopup.jsp?from=plwindow&amp;uu=/upload/window/REPORT/LXH-EA24-176 F-140S-224FFGG1A5.pdf","4등급"),IF(M154&lt;=2.8,HYPERLINK("http://www.lxhausys.co.kr/popup/rn/download/downloadPopup.jsp?from=plwindow&amp;uu=/upload/window/REPORT/LXH-EA24-176 F-140S-224FFGG1A5.pdf","5등급"),HYPERLINK("http://www.lxhausys.co.kr/popup/rn/download/downloadPopup.jsp?from=plwindow&amp;uu=/upload/window/REPORT/LXH-TW22-015 S-124-222FFGL1R157.pdf","등급외"))))))</f>
        <v>5등급</v>
      </c>
      <c r="M154" s="45">
        <v>2.7730000000000001</v>
      </c>
      <c r="N154" s="45">
        <v>1.41</v>
      </c>
      <c r="O154" s="42"/>
      <c r="P154" s="42" t="s">
        <v>103</v>
      </c>
      <c r="Q154" s="42" t="s">
        <v>19</v>
      </c>
      <c r="R154" s="42" t="s">
        <v>19</v>
      </c>
      <c r="S154" s="42" t="s">
        <v>19</v>
      </c>
      <c r="T154" s="42" t="s">
        <v>19</v>
      </c>
      <c r="U154" s="42" t="s">
        <v>19</v>
      </c>
      <c r="V154" s="42" t="s">
        <v>19</v>
      </c>
      <c r="W154" s="42" t="s">
        <v>19</v>
      </c>
      <c r="X154" s="42" t="s">
        <v>75</v>
      </c>
    </row>
    <row r="155" spans="1:24">
      <c r="A155" s="42" t="s">
        <v>678</v>
      </c>
      <c r="B155" s="43" t="s">
        <v>933</v>
      </c>
      <c r="C155" s="42" t="s">
        <v>1229</v>
      </c>
      <c r="D155" s="42" t="s">
        <v>20</v>
      </c>
      <c r="E155" s="43" t="s">
        <v>723</v>
      </c>
      <c r="F155" s="44"/>
      <c r="G155" s="43"/>
      <c r="H155" s="43"/>
      <c r="I155" s="43"/>
      <c r="J155" s="42" t="s">
        <v>1410</v>
      </c>
      <c r="K155" s="43" t="str">
        <f>VLOOKUP(C155,'[1]뷰프레임 전체_상세'!$B:$E,4,0)</f>
        <v>F-140S-228FFGG1A5</v>
      </c>
      <c r="L155" s="52" t="str">
        <f>IF(M155&lt;=0.9,HYPERLINK("http://www.lxhausys.co.kr/popup/rn/download/downloadPopup.jsp?from=plwindow&amp;uu=/upload/window/REPORT/LXH-EA24-175 F-140S-228FFGG1A5.pdf","1등급"),IF(M155&lt;=1.2,HYPERLINK("http://www.lxhausys.co.kr/popup/rn/download/downloadPopup.jsp?from=plwindow&amp;uu=/upload/window/REPORT/LXH-EA24-175 F-140S-228FFGG1A5.pdf","2등급"),IF(M155&lt;=1.8,HYPERLINK("http://www.lxhausys.co.kr/popup/rn/download/downloadPopup.jsp?from=plwindow&amp;uu=/upload/window/REPORT/LXH-EA24-175 F-140S-228FFGG1A5.pdf","3등급"),IF(M155&lt;=2.3,HYPERLINK("http://www.lxhausys.co.kr/popup/rn/download/downloadPopup.jsp?from=plwindow&amp;uu=/upload/window/REPORT/LXH-EA24-175 F-140S-228FFGG1A5.pdf","4등급"),IF(M155&lt;=2.8,HYPERLINK("http://www.lxhausys.co.kr/popup/rn/download/downloadPopup.jsp?from=plwindow&amp;uu=/upload/window/REPORT/LXH-EA24-175 F-140S-228FFGG1A5.pdf","5등급"),HYPERLINK("http://www.lxhausys.co.kr/popup/rn/download/downloadPopup.jsp?from=plwindow&amp;uu=/upload/window/REPORT/LXH-TW22-015 S-124-222FFGL1R158.pdf","등급외"))))))</f>
        <v>5등급</v>
      </c>
      <c r="M155" s="45">
        <v>2.67</v>
      </c>
      <c r="N155" s="45">
        <v>1.4</v>
      </c>
      <c r="O155" s="42"/>
      <c r="P155" s="42" t="s">
        <v>103</v>
      </c>
      <c r="Q155" s="42" t="s">
        <v>19</v>
      </c>
      <c r="R155" s="42" t="s">
        <v>19</v>
      </c>
      <c r="S155" s="42" t="s">
        <v>19</v>
      </c>
      <c r="T155" s="42" t="s">
        <v>19</v>
      </c>
      <c r="U155" s="42" t="s">
        <v>19</v>
      </c>
      <c r="V155" s="42" t="s">
        <v>19</v>
      </c>
      <c r="W155" s="42" t="s">
        <v>19</v>
      </c>
      <c r="X155" s="42" t="s">
        <v>75</v>
      </c>
    </row>
    <row r="156" spans="1:24">
      <c r="A156" s="42" t="s">
        <v>671</v>
      </c>
      <c r="B156" s="43" t="s">
        <v>934</v>
      </c>
      <c r="C156" s="42" t="s">
        <v>1230</v>
      </c>
      <c r="D156" s="42" t="s">
        <v>20</v>
      </c>
      <c r="E156" s="43" t="s">
        <v>733</v>
      </c>
      <c r="F156" s="44" t="s">
        <v>747</v>
      </c>
      <c r="G156" s="43"/>
      <c r="H156" s="43"/>
      <c r="I156" s="43"/>
      <c r="J156" s="42" t="s">
        <v>1410</v>
      </c>
      <c r="K156" s="43" t="str">
        <f>VLOOKUP(C156,'[1]뷰프레임 전체_상세'!$B:$E,4,0)</f>
        <v>F-250-488KGGG1R5</v>
      </c>
      <c r="L156" s="52" t="str">
        <f>IF(M156&lt;=0.9,HYPERLINK("http://www.lxhausys.co.kr/popup/rn/download/downloadPopup.jsp?from=plwindow&amp;uu=/upload/window/REPORT/LXH-EA24-179 F-250-488KGGG1R5.pdf","1등급"),IF(M156&lt;=1.2,HYPERLINK("http://www.lxhausys.co.kr/popup/rn/download/downloadPopup.jsp?from=plwindow&amp;uu=/upload/window/REPORT/LXH-EA24-179 F-250-488KGGG1R5.pdf","2등급"),IF(M156&lt;=1.8,HYPERLINK("http://www.lxhausys.co.kr/popup/rn/download/downloadPopup.jsp?from=plwindow&amp;uu=/upload/window/REPORT/LXH-EA24-179 F-250-488KGGG1R5.pdf","3등급"),IF(M156&lt;=2.3,HYPERLINK("http://www.lxhausys.co.kr/popup/rn/download/downloadPopup.jsp?from=plwindow&amp;uu=/upload/window/REPORT/LXH-EA24-179 F-250-488KGGG1R5.pdf","4등급"),IF(M156&lt;=2.8,HYPERLINK("http://www.lxhausys.co.kr/popup/rn/download/downloadPopup.jsp?from=plwindow&amp;uu=/upload/window/REPORT/LXH-EA24-179 F-250-488KGGG1R5.pdf","5등급"),HYPERLINK("http://www.lxhausys.co.kr/popup/rn/download/downloadPopup.jsp?from=plwindow&amp;uu=/upload/window/REPORT/LXH-TW22-015 S-124-222FFGL1R159.pdf","등급외"))))))</f>
        <v>1등급</v>
      </c>
      <c r="M156" s="45">
        <v>0.73399999999999999</v>
      </c>
      <c r="N156" s="45">
        <v>0.8</v>
      </c>
      <c r="O156" s="42"/>
      <c r="P156" s="42" t="s">
        <v>22</v>
      </c>
      <c r="Q156" s="42" t="s">
        <v>19</v>
      </c>
      <c r="R156" s="42" t="s">
        <v>19</v>
      </c>
      <c r="S156" s="42" t="s">
        <v>19</v>
      </c>
      <c r="T156" s="42" t="s">
        <v>19</v>
      </c>
      <c r="U156" s="42" t="s">
        <v>19</v>
      </c>
      <c r="V156" s="42" t="s">
        <v>19</v>
      </c>
      <c r="W156" s="42" t="s">
        <v>19</v>
      </c>
      <c r="X156" s="42" t="s">
        <v>75</v>
      </c>
    </row>
    <row r="157" spans="1:24">
      <c r="A157" s="42" t="s">
        <v>696</v>
      </c>
      <c r="B157" s="43" t="s">
        <v>935</v>
      </c>
      <c r="C157" s="42" t="s">
        <v>1231</v>
      </c>
      <c r="D157" s="42" t="s">
        <v>20</v>
      </c>
      <c r="E157" s="43" t="s">
        <v>720</v>
      </c>
      <c r="F157" s="44"/>
      <c r="G157" s="43"/>
      <c r="H157" s="43"/>
      <c r="I157" s="43"/>
      <c r="J157" s="42" t="s">
        <v>1410</v>
      </c>
      <c r="K157" s="43" t="str">
        <f>VLOOKUP(C157,'[1]뷰프레임 전체_상세'!$B:$E,4,0)</f>
        <v>F-145S-224FFGG1A5</v>
      </c>
      <c r="L157" s="52" t="str">
        <f>IF(M157&lt;=0.9,HYPERLINK("http://www.lxhausys.co.kr/popup/rn/download/downloadPopup.jsp?from=plwindow&amp;uu=/upload/window/REPORT/LXH-EA24-186 F-145S-224FFGG1A5.pdf","1등급"),IF(M157&lt;=1.2,HYPERLINK("http://www.lxhausys.co.kr/popup/rn/download/downloadPopup.jsp?from=plwindow&amp;uu=/upload/window/REPORT/LXH-EA24-186 F-145S-224FFGG1A5.pdf","2등급"),IF(M157&lt;=1.8,HYPERLINK("http://www.lxhausys.co.kr/popup/rn/download/downloadPopup.jsp?from=plwindow&amp;uu=/upload/window/REPORT/LXH-EA24-186 F-145S-224FFGG1A5.pdf","3등급"),IF(M157&lt;=2.3,HYPERLINK("http://www.lxhausys.co.kr/popup/rn/download/downloadPopup.jsp?from=plwindow&amp;uu=/upload/window/REPORT/LXH-EA24-186 F-145S-224FFGG1A5.pdf","4등급"),IF(M157&lt;=2.8,HYPERLINK("http://www.lxhausys.co.kr/popup/rn/download/downloadPopup.jsp?from=plwindow&amp;uu=/upload/window/REPORT/LXH-EA24-186 F-145S-224FFGG1A5.pdf","5등급"),HYPERLINK("http://www.lxhausys.co.kr/popup/rn/download/downloadPopup.jsp?from=plwindow&amp;uu=/upload/window/REPORT/LXH-TW22-015 S-124-222FFGL1R160.pdf","등급외"))))))</f>
        <v>5등급</v>
      </c>
      <c r="M157" s="45">
        <v>2.766</v>
      </c>
      <c r="N157" s="45">
        <v>1.56</v>
      </c>
      <c r="O157" s="42"/>
      <c r="P157" s="42" t="s">
        <v>103</v>
      </c>
      <c r="Q157" s="42" t="s">
        <v>19</v>
      </c>
      <c r="R157" s="42" t="s">
        <v>19</v>
      </c>
      <c r="S157" s="42" t="s">
        <v>19</v>
      </c>
      <c r="T157" s="42" t="s">
        <v>19</v>
      </c>
      <c r="U157" s="42" t="s">
        <v>19</v>
      </c>
      <c r="V157" s="42" t="s">
        <v>19</v>
      </c>
      <c r="W157" s="42" t="s">
        <v>19</v>
      </c>
      <c r="X157" s="42" t="s">
        <v>75</v>
      </c>
    </row>
    <row r="158" spans="1:24">
      <c r="A158" s="42" t="s">
        <v>696</v>
      </c>
      <c r="B158" s="43" t="s">
        <v>936</v>
      </c>
      <c r="C158" s="42" t="s">
        <v>1232</v>
      </c>
      <c r="D158" s="42" t="s">
        <v>20</v>
      </c>
      <c r="E158" s="43" t="s">
        <v>726</v>
      </c>
      <c r="F158" s="44"/>
      <c r="G158" s="43"/>
      <c r="H158" s="43"/>
      <c r="I158" s="43"/>
      <c r="J158" s="42" t="s">
        <v>1410</v>
      </c>
      <c r="K158" s="43" t="str">
        <f>VLOOKUP(C158,'[1]뷰프레임 전체_상세'!$B:$E,4,0)</f>
        <v>F-145S-228FFKG1A5</v>
      </c>
      <c r="L158" s="52" t="str">
        <f>IF(M158&lt;=0.9,HYPERLINK("http://www.lxhausys.co.kr/popup/rn/download/downloadPopup.jsp?from=plwindow&amp;uu=/upload/window/REPORT/LXH-EA24-185 F-145S-228FFKG1A5.pdf","1등급"),IF(M158&lt;=1.2,HYPERLINK("http://www.lxhausys.co.kr/popup/rn/download/downloadPopup.jsp?from=plwindow&amp;uu=/upload/window/REPORT/LXH-EA24-185 F-145S-228FFKG1A5.pdf","2등급"),IF(M158&lt;=1.8,HYPERLINK("http://www.lxhausys.co.kr/popup/rn/download/downloadPopup.jsp?from=plwindow&amp;uu=/upload/window/REPORT/LXH-EA24-185 F-145S-228FFKG1A5.pdf","3등급"),IF(M158&lt;=2.3,HYPERLINK("http://www.lxhausys.co.kr/popup/rn/download/downloadPopup.jsp?from=plwindow&amp;uu=/upload/window/REPORT/LXH-EA24-185 F-145S-228FFKG1A5.pdf","4등급"),IF(M158&lt;=2.8,HYPERLINK("http://www.lxhausys.co.kr/popup/rn/download/downloadPopup.jsp?from=plwindow&amp;uu=/upload/window/REPORT/LXH-EA24-185 F-145S-228FFKG1A5.pdf","5등급"),HYPERLINK("http://www.lxhausys.co.kr/popup/rn/download/downloadPopup.jsp?from=plwindow&amp;uu=/upload/window/REPORT/LXH-TW22-015 S-124-222FFGL1R161.pdf","등급외"))))))</f>
        <v>4등급</v>
      </c>
      <c r="M158" s="45">
        <v>1.8440000000000001</v>
      </c>
      <c r="N158" s="45">
        <v>1.49</v>
      </c>
      <c r="O158" s="42"/>
      <c r="P158" s="42" t="s">
        <v>103</v>
      </c>
      <c r="Q158" s="42" t="s">
        <v>19</v>
      </c>
      <c r="R158" s="42" t="s">
        <v>19</v>
      </c>
      <c r="S158" s="42" t="s">
        <v>19</v>
      </c>
      <c r="T158" s="42" t="s">
        <v>19</v>
      </c>
      <c r="U158" s="42" t="s">
        <v>19</v>
      </c>
      <c r="V158" s="42" t="s">
        <v>19</v>
      </c>
      <c r="W158" s="42" t="s">
        <v>19</v>
      </c>
      <c r="X158" s="42" t="s">
        <v>75</v>
      </c>
    </row>
    <row r="159" spans="1:24">
      <c r="A159" s="42" t="s">
        <v>696</v>
      </c>
      <c r="B159" s="43" t="s">
        <v>937</v>
      </c>
      <c r="C159" s="42" t="s">
        <v>1233</v>
      </c>
      <c r="D159" s="42" t="s">
        <v>20</v>
      </c>
      <c r="E159" s="43" t="s">
        <v>723</v>
      </c>
      <c r="F159" s="44"/>
      <c r="G159" s="43"/>
      <c r="H159" s="43"/>
      <c r="I159" s="43"/>
      <c r="J159" s="42" t="s">
        <v>1410</v>
      </c>
      <c r="K159" s="43" t="str">
        <f>VLOOKUP(C159,'[1]뷰프레임 전체_상세'!$B:$E,4,0)</f>
        <v>F-145S-228FFGG1A5</v>
      </c>
      <c r="L159" s="52" t="str">
        <f>IF(M159&lt;=0.9,HYPERLINK("http://www.lxhausys.co.kr/popup/rn/download/downloadPopup.jsp?from=plwindow&amp;uu=/upload/window/REPORT/LXH-EA24-184 F-145S-228FFGG1A5.pdf","1등급"),IF(M159&lt;=1.2,HYPERLINK("http://www.lxhausys.co.kr/popup/rn/download/downloadPopup.jsp?from=plwindow&amp;uu=/upload/window/REPORT/LXH-EA24-184 F-145S-228FFGG1A5.pdf","2등급"),IF(M159&lt;=1.8,HYPERLINK("http://www.lxhausys.co.kr/popup/rn/download/downloadPopup.jsp?from=plwindow&amp;uu=/upload/window/REPORT/LXH-EA24-184 F-145S-228FFGG1A5.pdf","3등급"),IF(M159&lt;=2.3,HYPERLINK("http://www.lxhausys.co.kr/popup/rn/download/downloadPopup.jsp?from=plwindow&amp;uu=/upload/window/REPORT/LXH-EA24-184 F-145S-228FFGG1A5.pdf","4등급"),IF(M159&lt;=2.8,HYPERLINK("http://www.lxhausys.co.kr/popup/rn/download/downloadPopup.jsp?from=plwindow&amp;uu=/upload/window/REPORT/LXH-EA24-184 F-145S-228FFGG1A5.pdf","5등급"),HYPERLINK("http://www.lxhausys.co.kr/popup/rn/download/downloadPopup.jsp?from=plwindow&amp;uu=/upload/window/REPORT/LXH-TW22-015 S-124-222FFGL1R162.pdf","등급외"))))))</f>
        <v>5등급</v>
      </c>
      <c r="M159" s="45">
        <v>2.7130000000000001</v>
      </c>
      <c r="N159" s="45">
        <v>1.52</v>
      </c>
      <c r="O159" s="42"/>
      <c r="P159" s="42" t="s">
        <v>103</v>
      </c>
      <c r="Q159" s="42" t="s">
        <v>19</v>
      </c>
      <c r="R159" s="42" t="s">
        <v>19</v>
      </c>
      <c r="S159" s="42" t="s">
        <v>19</v>
      </c>
      <c r="T159" s="42" t="s">
        <v>19</v>
      </c>
      <c r="U159" s="42" t="s">
        <v>19</v>
      </c>
      <c r="V159" s="42" t="s">
        <v>19</v>
      </c>
      <c r="W159" s="42" t="s">
        <v>19</v>
      </c>
      <c r="X159" s="42" t="s">
        <v>75</v>
      </c>
    </row>
    <row r="160" spans="1:24">
      <c r="A160" s="42" t="s">
        <v>696</v>
      </c>
      <c r="B160" s="43" t="s">
        <v>938</v>
      </c>
      <c r="C160" s="42" t="s">
        <v>1234</v>
      </c>
      <c r="D160" s="42" t="s">
        <v>20</v>
      </c>
      <c r="E160" s="43" t="s">
        <v>1074</v>
      </c>
      <c r="F160" s="44"/>
      <c r="G160" s="43"/>
      <c r="H160" s="43"/>
      <c r="I160" s="43"/>
      <c r="J160" s="42" t="s">
        <v>1410</v>
      </c>
      <c r="K160" s="43" t="str">
        <f>VLOOKUP(C160,'[1]뷰프레임 전체_상세'!$B:$E,4,0)</f>
        <v>F-145S-224FFGS1A5</v>
      </c>
      <c r="L160" s="52" t="str">
        <f>IF(M160&lt;=0.9,HYPERLINK("http://www.lxhausys.co.kr/popup/rn/download/downloadPopup.jsp?from=plwindow&amp;uu=/upload/window/REPORT/LXH-EA24-183 F-145S-224FFGS1A5.pdf","1등급"),IF(M160&lt;=1.2,HYPERLINK("http://www.lxhausys.co.kr/popup/rn/download/downloadPopup.jsp?from=plwindow&amp;uu=/upload/window/REPORT/LXH-EA24-183 F-145S-224FFGS1A5.pdf","2등급"),IF(M160&lt;=1.8,HYPERLINK("http://www.lxhausys.co.kr/popup/rn/download/downloadPopup.jsp?from=plwindow&amp;uu=/upload/window/REPORT/LXH-EA24-183 F-145S-224FFGS1A5.pdf","3등급"),IF(M160&lt;=2.3,HYPERLINK("http://www.lxhausys.co.kr/popup/rn/download/downloadPopup.jsp?from=plwindow&amp;uu=/upload/window/REPORT/LXH-EA24-183 F-145S-224FFGS1A5.pdf","4등급"),IF(M160&lt;=2.8,HYPERLINK("http://www.lxhausys.co.kr/popup/rn/download/downloadPopup.jsp?from=plwindow&amp;uu=/upload/window/REPORT/LXH-EA24-183 F-145S-224FFGS1A5.pdf","5등급"),HYPERLINK("http://www.lxhausys.co.kr/popup/rn/download/downloadPopup.jsp?from=plwindow&amp;uu=/upload/window/REPORT/LXH-TW22-015 S-124-222FFGL1R163.pdf","등급외"))))))</f>
        <v>4등급</v>
      </c>
      <c r="M160" s="45">
        <v>2.0129999999999999</v>
      </c>
      <c r="N160" s="45">
        <v>1.55</v>
      </c>
      <c r="O160" s="42"/>
      <c r="P160" s="42" t="s">
        <v>103</v>
      </c>
      <c r="Q160" s="42" t="s">
        <v>19</v>
      </c>
      <c r="R160" s="42" t="s">
        <v>19</v>
      </c>
      <c r="S160" s="42" t="s">
        <v>19</v>
      </c>
      <c r="T160" s="42" t="s">
        <v>19</v>
      </c>
      <c r="U160" s="42" t="s">
        <v>19</v>
      </c>
      <c r="V160" s="42" t="s">
        <v>19</v>
      </c>
      <c r="W160" s="42" t="s">
        <v>19</v>
      </c>
      <c r="X160" s="42" t="s">
        <v>75</v>
      </c>
    </row>
    <row r="161" spans="1:24">
      <c r="A161" s="42" t="s">
        <v>696</v>
      </c>
      <c r="B161" s="43" t="s">
        <v>939</v>
      </c>
      <c r="C161" s="42" t="s">
        <v>1235</v>
      </c>
      <c r="D161" s="42" t="s">
        <v>20</v>
      </c>
      <c r="E161" s="43" t="s">
        <v>722</v>
      </c>
      <c r="F161" s="44"/>
      <c r="G161" s="43"/>
      <c r="H161" s="43"/>
      <c r="I161" s="43"/>
      <c r="J161" s="42" t="s">
        <v>1410</v>
      </c>
      <c r="K161" s="43" t="str">
        <f>VLOOKUP(C161,'[1]뷰프레임 전체_상세'!$B:$E,4,0)</f>
        <v>F-145S-224FFKG1A5</v>
      </c>
      <c r="L161" s="52" t="str">
        <f>IF(M161&lt;=0.9,HYPERLINK("http://www.lxhausys.co.kr/popup/rn/download/downloadPopup.jsp?from=plwindow&amp;uu=/upload/window/REPORT/LXH-EA24-182 F-145S-224FFKG1A5.pdf","1등급"),IF(M161&lt;=1.2,HYPERLINK("http://www.lxhausys.co.kr/popup/rn/download/downloadPopup.jsp?from=plwindow&amp;uu=/upload/window/REPORT/LXH-EA24-182 F-145S-224FFKG1A5.pdf","2등급"),IF(M161&lt;=1.8,HYPERLINK("http://www.lxhausys.co.kr/popup/rn/download/downloadPopup.jsp?from=plwindow&amp;uu=/upload/window/REPORT/LXH-EA24-182 F-145S-224FFKG1A5.pdf","3등급"),IF(M161&lt;=2.3,HYPERLINK("http://www.lxhausys.co.kr/popup/rn/download/downloadPopup.jsp?from=plwindow&amp;uu=/upload/window/REPORT/LXH-EA24-182 F-145S-224FFKG1A5.pdf","4등급"),IF(M161&lt;=2.8,HYPERLINK("http://www.lxhausys.co.kr/popup/rn/download/downloadPopup.jsp?from=plwindow&amp;uu=/upload/window/REPORT/LXH-EA24-182 F-145S-224FFKG1A5.pdf","5등급"),HYPERLINK("http://www.lxhausys.co.kr/popup/rn/download/downloadPopup.jsp?from=plwindow&amp;uu=/upload/window/REPORT/LXH-TW22-015 S-124-222FFGL1R164.pdf","등급외"))))))</f>
        <v>4등급</v>
      </c>
      <c r="M161" s="45">
        <v>1.9550000000000001</v>
      </c>
      <c r="N161" s="45">
        <v>1.51</v>
      </c>
      <c r="O161" s="42"/>
      <c r="P161" s="42" t="s">
        <v>103</v>
      </c>
      <c r="Q161" s="42" t="s">
        <v>19</v>
      </c>
      <c r="R161" s="42" t="s">
        <v>19</v>
      </c>
      <c r="S161" s="42" t="s">
        <v>19</v>
      </c>
      <c r="T161" s="42" t="s">
        <v>19</v>
      </c>
      <c r="U161" s="42" t="s">
        <v>19</v>
      </c>
      <c r="V161" s="42" t="s">
        <v>19</v>
      </c>
      <c r="W161" s="42" t="s">
        <v>19</v>
      </c>
      <c r="X161" s="42" t="s">
        <v>75</v>
      </c>
    </row>
    <row r="162" spans="1:24">
      <c r="A162" s="42" t="s">
        <v>673</v>
      </c>
      <c r="B162" s="43" t="s">
        <v>940</v>
      </c>
      <c r="C162" s="42" t="s">
        <v>1236</v>
      </c>
      <c r="D162" s="42" t="s">
        <v>20</v>
      </c>
      <c r="E162" s="43" t="s">
        <v>720</v>
      </c>
      <c r="F162" s="44"/>
      <c r="G162" s="43"/>
      <c r="H162" s="43"/>
      <c r="I162" s="43"/>
      <c r="J162" s="42" t="s">
        <v>1410</v>
      </c>
      <c r="K162" s="43" t="str">
        <f>VLOOKUP(C162,'[1]뷰프레임 전체_상세'!$B:$E,4,0)</f>
        <v>F-145-224FFGG1A5</v>
      </c>
      <c r="L162" s="52" t="str">
        <f>IF(M162&lt;=0.9,HYPERLINK("http://www.lxhausys.co.kr/popup/rn/download/downloadPopup.jsp?from=plwindow&amp;uu=/upload/window/REPORT/LXH-EA24-181 F-145-224FFGG1A5.pdf","1등급"),IF(M162&lt;=1.2,HYPERLINK("http://www.lxhausys.co.kr/popup/rn/download/downloadPopup.jsp?from=plwindow&amp;uu=/upload/window/REPORT/LXH-EA24-181 F-145-224FFGG1A5.pdf","2등급"),IF(M162&lt;=1.8,HYPERLINK("http://www.lxhausys.co.kr/popup/rn/download/downloadPopup.jsp?from=plwindow&amp;uu=/upload/window/REPORT/LXH-EA24-181 F-145-224FFGG1A5.pdf","3등급"),IF(M162&lt;=2.3,HYPERLINK("http://www.lxhausys.co.kr/popup/rn/download/downloadPopup.jsp?from=plwindow&amp;uu=/upload/window/REPORT/LXH-EA24-181 F-145-224FFGG1A5.pdf","4등급"),IF(M162&lt;=2.8,HYPERLINK("http://www.lxhausys.co.kr/popup/rn/download/downloadPopup.jsp?from=plwindow&amp;uu=/upload/window/REPORT/LXH-EA24-181 F-145-224FFGG1A5.pdf","5등급"),HYPERLINK("http://www.lxhausys.co.kr/popup/rn/download/downloadPopup.jsp?from=plwindow&amp;uu=/upload/window/REPORT/LXH-TW22-015 S-124-222FFGL1R165.pdf","등급외"))))))</f>
        <v>5등급</v>
      </c>
      <c r="M162" s="45">
        <v>2.7509999999999999</v>
      </c>
      <c r="N162" s="45">
        <v>1.58</v>
      </c>
      <c r="O162" s="42"/>
      <c r="P162" s="42" t="s">
        <v>103</v>
      </c>
      <c r="Q162" s="42" t="s">
        <v>19</v>
      </c>
      <c r="R162" s="42" t="s">
        <v>19</v>
      </c>
      <c r="S162" s="42" t="s">
        <v>19</v>
      </c>
      <c r="T162" s="42" t="s">
        <v>19</v>
      </c>
      <c r="U162" s="42" t="s">
        <v>19</v>
      </c>
      <c r="V162" s="42" t="s">
        <v>19</v>
      </c>
      <c r="W162" s="42" t="s">
        <v>19</v>
      </c>
      <c r="X162" s="42" t="s">
        <v>75</v>
      </c>
    </row>
    <row r="163" spans="1:24">
      <c r="A163" s="42" t="s">
        <v>673</v>
      </c>
      <c r="B163" s="43" t="s">
        <v>941</v>
      </c>
      <c r="C163" s="42" t="s">
        <v>1237</v>
      </c>
      <c r="D163" s="42" t="s">
        <v>20</v>
      </c>
      <c r="E163" s="43" t="s">
        <v>723</v>
      </c>
      <c r="F163" s="44"/>
      <c r="G163" s="43"/>
      <c r="H163" s="43"/>
      <c r="I163" s="43"/>
      <c r="J163" s="42" t="s">
        <v>1410</v>
      </c>
      <c r="K163" s="43" t="str">
        <f>VLOOKUP(C163,'[1]뷰프레임 전체_상세'!$B:$E,4,0)</f>
        <v>F-145-228FFGG1A5</v>
      </c>
      <c r="L163" s="52" t="str">
        <f>IF(M163&lt;=0.9,HYPERLINK("http://www.lxhausys.co.kr/popup/rn/download/downloadPopup.jsp?from=plwindow&amp;uu=/upload/window/REPORT/LXH-EA24-180 F-145-228FFGG1A5.pdf","1등급"),IF(M163&lt;=1.2,HYPERLINK("http://www.lxhausys.co.kr/popup/rn/download/downloadPopup.jsp?from=plwindow&amp;uu=/upload/window/REPORT/LXH-EA24-180 F-145-228FFGG1A5.pdf","2등급"),IF(M163&lt;=1.8,HYPERLINK("http://www.lxhausys.co.kr/popup/rn/download/downloadPopup.jsp?from=plwindow&amp;uu=/upload/window/REPORT/LXH-EA24-180 F-145-228FFGG1A5.pdf","3등급"),IF(M163&lt;=2.3,HYPERLINK("http://www.lxhausys.co.kr/popup/rn/download/downloadPopup.jsp?from=plwindow&amp;uu=/upload/window/REPORT/LXH-EA24-180 F-145-228FFGG1A5.pdf","4등급"),IF(M163&lt;=2.8,HYPERLINK("http://www.lxhausys.co.kr/popup/rn/download/downloadPopup.jsp?from=plwindow&amp;uu=/upload/window/REPORT/LXH-EA24-180 F-145-228FFGG1A5.pdf","5등급"),HYPERLINK("http://www.lxhausys.co.kr/popup/rn/download/downloadPopup.jsp?from=plwindow&amp;uu=/upload/window/REPORT/LXH-TW22-015 S-124-222FFGL1R166.pdf","등급외"))))))</f>
        <v>5등급</v>
      </c>
      <c r="M163" s="45">
        <v>2.633</v>
      </c>
      <c r="N163" s="45">
        <v>1.56</v>
      </c>
      <c r="O163" s="42"/>
      <c r="P163" s="42" t="s">
        <v>103</v>
      </c>
      <c r="Q163" s="42" t="s">
        <v>19</v>
      </c>
      <c r="R163" s="42" t="s">
        <v>19</v>
      </c>
      <c r="S163" s="42" t="s">
        <v>19</v>
      </c>
      <c r="T163" s="42" t="s">
        <v>19</v>
      </c>
      <c r="U163" s="42" t="s">
        <v>19</v>
      </c>
      <c r="V163" s="42" t="s">
        <v>19</v>
      </c>
      <c r="W163" s="42" t="s">
        <v>19</v>
      </c>
      <c r="X163" s="42" t="s">
        <v>75</v>
      </c>
    </row>
    <row r="164" spans="1:24">
      <c r="A164" s="42" t="s">
        <v>697</v>
      </c>
      <c r="B164" s="43" t="s">
        <v>942</v>
      </c>
      <c r="C164" s="42" t="s">
        <v>1238</v>
      </c>
      <c r="D164" s="42" t="s">
        <v>20</v>
      </c>
      <c r="E164" s="43" t="s">
        <v>739</v>
      </c>
      <c r="F164" s="44" t="s">
        <v>750</v>
      </c>
      <c r="G164" s="43"/>
      <c r="H164" s="43"/>
      <c r="I164" s="43"/>
      <c r="J164" s="42" t="s">
        <v>1410</v>
      </c>
      <c r="K164" s="43" t="str">
        <f>VLOOKUP(C164,'[1]뷰프레임 전체_상세'!$B:$E,4,0)</f>
        <v>F-265S-444GGGS1R5</v>
      </c>
      <c r="L164" s="52" t="str">
        <f>IF(M164&lt;=0.9,HYPERLINK("http://www.lxhausys.co.kr/popup/rn/download/downloadPopup.jsp?from=plwindow&amp;uu=/upload/window/REPORT/LXH-EA24-155 F-265S-444GGGS1R5.pdf","1등급"),IF(M164&lt;=1.2,HYPERLINK("http://www.lxhausys.co.kr/popup/rn/download/downloadPopup.jsp?from=plwindow&amp;uu=/upload/window/REPORT/LXH-EA24-155 F-265S-444GGGS1R5.pdf","2등급"),IF(M164&lt;=1.8,HYPERLINK("http://www.lxhausys.co.kr/popup/rn/download/downloadPopup.jsp?from=plwindow&amp;uu=/upload/window/REPORT/LXH-EA24-155 F-265S-444GGGS1R5.pdf","3등급"),IF(M164&lt;=2.3,HYPERLINK("http://www.lxhausys.co.kr/popup/rn/download/downloadPopup.jsp?from=plwindow&amp;uu=/upload/window/REPORT/LXH-EA24-155 F-265S-444GGGS1R5.pdf","4등급"),IF(M164&lt;=2.8,HYPERLINK("http://www.lxhausys.co.kr/popup/rn/download/downloadPopup.jsp?from=plwindow&amp;uu=/upload/window/REPORT/LXH-EA24-155 F-265S-444GGGS1R5.pdf","5등급"),HYPERLINK("http://www.lxhausys.co.kr/popup/rn/download/downloadPopup.jsp?from=plwindow&amp;uu=/upload/window/REPORT/LXH-TW22-015 S-124-222FFGL1R167.pdf","등급외"))))))</f>
        <v>1등급</v>
      </c>
      <c r="M164" s="45">
        <v>0.86599999999999999</v>
      </c>
      <c r="N164" s="45">
        <v>0.82</v>
      </c>
      <c r="O164" s="42"/>
      <c r="P164" s="42" t="s">
        <v>22</v>
      </c>
      <c r="Q164" s="42" t="s">
        <v>19</v>
      </c>
      <c r="R164" s="42" t="s">
        <v>19</v>
      </c>
      <c r="S164" s="42" t="s">
        <v>19</v>
      </c>
      <c r="T164" s="42" t="s">
        <v>19</v>
      </c>
      <c r="U164" s="42" t="s">
        <v>19</v>
      </c>
      <c r="V164" s="42" t="s">
        <v>19</v>
      </c>
      <c r="W164" s="42" t="s">
        <v>19</v>
      </c>
      <c r="X164" s="42" t="s">
        <v>75</v>
      </c>
    </row>
    <row r="165" spans="1:24">
      <c r="A165" s="42" t="s">
        <v>697</v>
      </c>
      <c r="B165" s="43" t="s">
        <v>943</v>
      </c>
      <c r="C165" s="42" t="s">
        <v>1239</v>
      </c>
      <c r="D165" s="42" t="s">
        <v>20</v>
      </c>
      <c r="E165" s="43" t="s">
        <v>735</v>
      </c>
      <c r="F165" s="44" t="s">
        <v>748</v>
      </c>
      <c r="G165" s="43"/>
      <c r="H165" s="43"/>
      <c r="I165" s="43"/>
      <c r="J165" s="42" t="s">
        <v>1410</v>
      </c>
      <c r="K165" s="43" t="str">
        <f>VLOOKUP(C165,'[1]뷰프레임 전체_상세'!$B:$E,4,0)</f>
        <v>F-265S-488GGGS2A5</v>
      </c>
      <c r="L165" s="52" t="str">
        <f>IF(M165&lt;=0.9,HYPERLINK("http://www.lxhausys.co.kr/popup/rn/download/downloadPopup.jsp?from=plwindow&amp;uu=/upload/window/REPORT/LXH-EA24-154 F-265S-488GGGS2A5.pdf","1등급"),IF(M165&lt;=1.2,HYPERLINK("http://www.lxhausys.co.kr/popup/rn/download/downloadPopup.jsp?from=plwindow&amp;uu=/upload/window/REPORT/LXH-EA24-154 F-265S-488GGGS2A5.pdf","2등급"),IF(M165&lt;=1.8,HYPERLINK("http://www.lxhausys.co.kr/popup/rn/download/downloadPopup.jsp?from=plwindow&amp;uu=/upload/window/REPORT/LXH-EA24-154 F-265S-488GGGS2A5.pdf","3등급"),IF(M165&lt;=2.3,HYPERLINK("http://www.lxhausys.co.kr/popup/rn/download/downloadPopup.jsp?from=plwindow&amp;uu=/upload/window/REPORT/LXH-EA24-154 F-265S-488GGGS2A5.pdf","4등급"),IF(M165&lt;=2.8,HYPERLINK("http://www.lxhausys.co.kr/popup/rn/download/downloadPopup.jsp?from=plwindow&amp;uu=/upload/window/REPORT/LXH-EA24-154 F-265S-488GGGS2A5.pdf","5등급"),HYPERLINK("http://www.lxhausys.co.kr/popup/rn/download/downloadPopup.jsp?from=plwindow&amp;uu=/upload/window/REPORT/LXH-TW22-015 S-124-222FFGL1R168.pdf","등급외"))))))</f>
        <v>1등급</v>
      </c>
      <c r="M165" s="45">
        <v>0.874</v>
      </c>
      <c r="N165" s="45">
        <v>0.81</v>
      </c>
      <c r="O165" s="42"/>
      <c r="P165" s="42" t="s">
        <v>22</v>
      </c>
      <c r="Q165" s="42" t="s">
        <v>19</v>
      </c>
      <c r="R165" s="42" t="s">
        <v>19</v>
      </c>
      <c r="S165" s="42" t="s">
        <v>19</v>
      </c>
      <c r="T165" s="42" t="s">
        <v>19</v>
      </c>
      <c r="U165" s="42" t="s">
        <v>19</v>
      </c>
      <c r="V165" s="42" t="s">
        <v>19</v>
      </c>
      <c r="W165" s="42" t="s">
        <v>19</v>
      </c>
      <c r="X165" s="42" t="s">
        <v>75</v>
      </c>
    </row>
    <row r="166" spans="1:24">
      <c r="A166" s="42" t="s">
        <v>697</v>
      </c>
      <c r="B166" s="43" t="s">
        <v>944</v>
      </c>
      <c r="C166" s="42" t="s">
        <v>1240</v>
      </c>
      <c r="D166" s="42" t="s">
        <v>20</v>
      </c>
      <c r="E166" s="43" t="s">
        <v>735</v>
      </c>
      <c r="F166" s="44" t="s">
        <v>745</v>
      </c>
      <c r="G166" s="43"/>
      <c r="H166" s="43"/>
      <c r="I166" s="43"/>
      <c r="J166" s="42" t="s">
        <v>1410</v>
      </c>
      <c r="K166" s="43" t="str">
        <f>VLOOKUP(C166,'[1]뷰프레임 전체_상세'!$B:$E,4,0)</f>
        <v>F-265S-488GGGS1R5</v>
      </c>
      <c r="L166" s="52" t="str">
        <f>IF(M166&lt;=0.9,HYPERLINK("http://www.lxhausys.co.kr/popup/rn/download/downloadPopup.jsp?from=plwindow&amp;uu=/upload/window/REPORT/LXH-EA24-153 F-265S-488GGGS1R5.pdf","1등급"),IF(M166&lt;=1.2,HYPERLINK("http://www.lxhausys.co.kr/popup/rn/download/downloadPopup.jsp?from=plwindow&amp;uu=/upload/window/REPORT/LXH-EA24-153 F-265S-488GGGS1R5.pdf","2등급"),IF(M166&lt;=1.8,HYPERLINK("http://www.lxhausys.co.kr/popup/rn/download/downloadPopup.jsp?from=plwindow&amp;uu=/upload/window/REPORT/LXH-EA24-153 F-265S-488GGGS1R5.pdf","3등급"),IF(M166&lt;=2.3,HYPERLINK("http://www.lxhausys.co.kr/popup/rn/download/downloadPopup.jsp?from=plwindow&amp;uu=/upload/window/REPORT/LXH-EA24-153 F-265S-488GGGS1R5.pdf","4등급"),IF(M166&lt;=2.8,HYPERLINK("http://www.lxhausys.co.kr/popup/rn/download/downloadPopup.jsp?from=plwindow&amp;uu=/upload/window/REPORT/LXH-EA24-153 F-265S-488GGGS1R5.pdf","5등급"),HYPERLINK("http://www.lxhausys.co.kr/popup/rn/download/downloadPopup.jsp?from=plwindow&amp;uu=/upload/window/REPORT/LXH-TW22-015 S-124-222FFGL1R169.pdf","등급외"))))))</f>
        <v>1등급</v>
      </c>
      <c r="M166" s="45">
        <v>0.80500000000000005</v>
      </c>
      <c r="N166" s="45">
        <v>0.82</v>
      </c>
      <c r="O166" s="42"/>
      <c r="P166" s="42" t="s">
        <v>22</v>
      </c>
      <c r="Q166" s="42" t="s">
        <v>19</v>
      </c>
      <c r="R166" s="42" t="s">
        <v>19</v>
      </c>
      <c r="S166" s="42" t="s">
        <v>19</v>
      </c>
      <c r="T166" s="42" t="s">
        <v>19</v>
      </c>
      <c r="U166" s="42" t="s">
        <v>19</v>
      </c>
      <c r="V166" s="42" t="s">
        <v>19</v>
      </c>
      <c r="W166" s="42" t="s">
        <v>19</v>
      </c>
      <c r="X166" s="42" t="s">
        <v>75</v>
      </c>
    </row>
    <row r="167" spans="1:24">
      <c r="A167" s="42" t="s">
        <v>697</v>
      </c>
      <c r="B167" s="43" t="s">
        <v>945</v>
      </c>
      <c r="C167" s="42" t="s">
        <v>1241</v>
      </c>
      <c r="D167" s="42" t="s">
        <v>20</v>
      </c>
      <c r="E167" s="43" t="s">
        <v>739</v>
      </c>
      <c r="F167" s="44" t="s">
        <v>752</v>
      </c>
      <c r="G167" s="43"/>
      <c r="H167" s="43"/>
      <c r="I167" s="43"/>
      <c r="J167" s="42" t="s">
        <v>1410</v>
      </c>
      <c r="K167" s="43" t="str">
        <f>VLOOKUP(C167,'[1]뷰프레임 전체_상세'!$B:$E,4,0)</f>
        <v>F-265S-444GGGS2A5</v>
      </c>
      <c r="L167" s="52" t="str">
        <f>IF(M167&lt;=0.9,HYPERLINK("http://www.lxhausys.co.kr/popup/rn/download/downloadPopup.jsp?from=plwindow&amp;uu=/upload/window/REPORT/LXH-EA24-152 F-265S-444GGGS2A5.pdf","1등급"),IF(M167&lt;=1.2,HYPERLINK("http://www.lxhausys.co.kr/popup/rn/download/downloadPopup.jsp?from=plwindow&amp;uu=/upload/window/REPORT/LXH-EA24-152 F-265S-444GGGS2A5.pdf","2등급"),IF(M167&lt;=1.8,HYPERLINK("http://www.lxhausys.co.kr/popup/rn/download/downloadPopup.jsp?from=plwindow&amp;uu=/upload/window/REPORT/LXH-EA24-152 F-265S-444GGGS2A5.pdf","3등급"),IF(M167&lt;=2.3,HYPERLINK("http://www.lxhausys.co.kr/popup/rn/download/downloadPopup.jsp?from=plwindow&amp;uu=/upload/window/REPORT/LXH-EA24-152 F-265S-444GGGS2A5.pdf","4등급"),IF(M167&lt;=2.8,HYPERLINK("http://www.lxhausys.co.kr/popup/rn/download/downloadPopup.jsp?from=plwindow&amp;uu=/upload/window/REPORT/LXH-EA24-152 F-265S-444GGGS2A5.pdf","5등급"),HYPERLINK("http://www.lxhausys.co.kr/popup/rn/download/downloadPopup.jsp?from=plwindow&amp;uu=/upload/window/REPORT/LXH-TW22-015 S-124-222FFGL1R170.pdf","등급외"))))))</f>
        <v>2등급</v>
      </c>
      <c r="M167" s="45">
        <v>0.95099999999999996</v>
      </c>
      <c r="N167" s="45">
        <v>0.79</v>
      </c>
      <c r="O167" s="42"/>
      <c r="P167" s="42" t="s">
        <v>22</v>
      </c>
      <c r="Q167" s="42" t="s">
        <v>19</v>
      </c>
      <c r="R167" s="42" t="s">
        <v>19</v>
      </c>
      <c r="S167" s="42" t="s">
        <v>19</v>
      </c>
      <c r="T167" s="42" t="s">
        <v>19</v>
      </c>
      <c r="U167" s="42" t="s">
        <v>19</v>
      </c>
      <c r="V167" s="42" t="s">
        <v>19</v>
      </c>
      <c r="W167" s="42" t="s">
        <v>19</v>
      </c>
      <c r="X167" s="42" t="s">
        <v>75</v>
      </c>
    </row>
    <row r="168" spans="1:24">
      <c r="A168" s="42" t="s">
        <v>673</v>
      </c>
      <c r="B168" s="43" t="s">
        <v>946</v>
      </c>
      <c r="C168" s="42" t="s">
        <v>1242</v>
      </c>
      <c r="D168" s="42" t="s">
        <v>20</v>
      </c>
      <c r="E168" s="43" t="s">
        <v>716</v>
      </c>
      <c r="F168" s="44"/>
      <c r="G168" s="43"/>
      <c r="H168" s="43"/>
      <c r="I168" s="43"/>
      <c r="J168" s="42" t="s">
        <v>1410</v>
      </c>
      <c r="K168" s="43" t="str">
        <f>VLOOKUP(C168,'[1]뷰프레임 전체_상세'!$B:$E,4,0)</f>
        <v>F-145-224FFKG1R5</v>
      </c>
      <c r="L168" s="52" t="str">
        <f>IF(M168&lt;=0.9,HYPERLINK("http://www.lxhausys.co.kr/popup/rn/download/downloadPopup.jsp?from=plwindow&amp;uu=/upload/window/REPORT/LXH-EA24-161 F-145-224FFKG1R5.pdf","1등급"),IF(M168&lt;=1.2,HYPERLINK("http://www.lxhausys.co.kr/popup/rn/download/downloadPopup.jsp?from=plwindow&amp;uu=/upload/window/REPORT/LXH-EA24-161 F-145-224FFKG1R5.pdf","2등급"),IF(M168&lt;=1.8,HYPERLINK("http://www.lxhausys.co.kr/popup/rn/download/downloadPopup.jsp?from=plwindow&amp;uu=/upload/window/REPORT/LXH-EA24-161 F-145-224FFKG1R5.pdf","3등급"),IF(M168&lt;=2.3,HYPERLINK("http://www.lxhausys.co.kr/popup/rn/download/downloadPopup.jsp?from=plwindow&amp;uu=/upload/window/REPORT/LXH-EA24-161 F-145-224FFKG1R5.pdf","4등급"),IF(M168&lt;=2.8,HYPERLINK("http://www.lxhausys.co.kr/popup/rn/download/downloadPopup.jsp?from=plwindow&amp;uu=/upload/window/REPORT/LXH-EA24-161 F-145-224FFKG1R5.pdf","5등급"),HYPERLINK("http://www.lxhausys.co.kr/popup/rn/download/downloadPopup.jsp?from=plwindow&amp;uu=/upload/window/REPORT/LXH-TW22-015 S-124-222FFGL1R171.pdf","등급외"))))))</f>
        <v>3등급</v>
      </c>
      <c r="M168" s="45">
        <v>1.597</v>
      </c>
      <c r="N168" s="45">
        <v>1.51</v>
      </c>
      <c r="O168" s="42"/>
      <c r="P168" s="42" t="s">
        <v>103</v>
      </c>
      <c r="Q168" s="42" t="s">
        <v>19</v>
      </c>
      <c r="R168" s="42" t="s">
        <v>19</v>
      </c>
      <c r="S168" s="42" t="s">
        <v>19</v>
      </c>
      <c r="T168" s="42" t="s">
        <v>19</v>
      </c>
      <c r="U168" s="42" t="s">
        <v>19</v>
      </c>
      <c r="V168" s="42" t="s">
        <v>19</v>
      </c>
      <c r="W168" s="42" t="s">
        <v>19</v>
      </c>
      <c r="X168" s="42" t="s">
        <v>75</v>
      </c>
    </row>
    <row r="169" spans="1:24">
      <c r="A169" s="42" t="s">
        <v>673</v>
      </c>
      <c r="B169" s="43" t="s">
        <v>947</v>
      </c>
      <c r="C169" s="42" t="s">
        <v>1243</v>
      </c>
      <c r="D169" s="42" t="s">
        <v>20</v>
      </c>
      <c r="E169" s="43" t="s">
        <v>1072</v>
      </c>
      <c r="F169" s="44"/>
      <c r="G169" s="43"/>
      <c r="H169" s="43"/>
      <c r="I169" s="43"/>
      <c r="J169" s="42" t="s">
        <v>1410</v>
      </c>
      <c r="K169" s="43" t="str">
        <f>VLOOKUP(C169,'[1]뷰프레임 전체_상세'!$B:$E,4,0)</f>
        <v>F-145-228FFGS1A5</v>
      </c>
      <c r="L169" s="52" t="str">
        <f>IF(M169&lt;=0.9,HYPERLINK("http://www.lxhausys.co.kr/popup/rn/download/downloadPopup.jsp?from=plwindow&amp;uu=/upload/window/REPORT/LXH-EA24-160 F-145-228FFGS1A5.pdf","1등급"),IF(M169&lt;=1.2,HYPERLINK("http://www.lxhausys.co.kr/popup/rn/download/downloadPopup.jsp?from=plwindow&amp;uu=/upload/window/REPORT/LXH-EA24-160 F-145-228FFGS1A5.pdf","2등급"),IF(M169&lt;=1.8,HYPERLINK("http://www.lxhausys.co.kr/popup/rn/download/downloadPopup.jsp?from=plwindow&amp;uu=/upload/window/REPORT/LXH-EA24-160 F-145-228FFGS1A5.pdf","3등급"),IF(M169&lt;=2.3,HYPERLINK("http://www.lxhausys.co.kr/popup/rn/download/downloadPopup.jsp?from=plwindow&amp;uu=/upload/window/REPORT/LXH-EA24-160 F-145-228FFGS1A5.pdf","4등급"),IF(M169&lt;=2.8,HYPERLINK("http://www.lxhausys.co.kr/popup/rn/download/downloadPopup.jsp?from=plwindow&amp;uu=/upload/window/REPORT/LXH-EA24-160 F-145-228FFGS1A5.pdf","5등급"),HYPERLINK("http://www.lxhausys.co.kr/popup/rn/download/downloadPopup.jsp?from=plwindow&amp;uu=/upload/window/REPORT/LXH-TW22-015 S-124-222FFGL1R172.pdf","등급외"))))))</f>
        <v>4등급</v>
      </c>
      <c r="M169" s="45">
        <v>1.8560000000000001</v>
      </c>
      <c r="N169" s="45">
        <v>1.49</v>
      </c>
      <c r="O169" s="42"/>
      <c r="P169" s="42" t="s">
        <v>103</v>
      </c>
      <c r="Q169" s="42" t="s">
        <v>19</v>
      </c>
      <c r="R169" s="42" t="s">
        <v>19</v>
      </c>
      <c r="S169" s="42" t="s">
        <v>19</v>
      </c>
      <c r="T169" s="42" t="s">
        <v>19</v>
      </c>
      <c r="U169" s="42" t="s">
        <v>19</v>
      </c>
      <c r="V169" s="42" t="s">
        <v>19</v>
      </c>
      <c r="W169" s="42" t="s">
        <v>19</v>
      </c>
      <c r="X169" s="42" t="s">
        <v>75</v>
      </c>
    </row>
    <row r="170" spans="1:24">
      <c r="A170" s="42" t="s">
        <v>699</v>
      </c>
      <c r="B170" s="43" t="s">
        <v>948</v>
      </c>
      <c r="C170" s="42" t="s">
        <v>1244</v>
      </c>
      <c r="D170" s="42" t="s">
        <v>20</v>
      </c>
      <c r="E170" s="43" t="s">
        <v>1403</v>
      </c>
      <c r="F170" s="44"/>
      <c r="G170" s="43"/>
      <c r="H170" s="43"/>
      <c r="I170" s="43"/>
      <c r="J170" s="42" t="s">
        <v>1410</v>
      </c>
      <c r="K170" s="43" t="str">
        <f>VLOOKUP(C170,'[1]뷰프레임 전체_상세'!$B:$E,4,0)</f>
        <v>F-TD140-224FFUG1R5</v>
      </c>
      <c r="L170" s="52" t="str">
        <f>IF(M170&lt;=0.9,HYPERLINK("http://www.lxhausys.co.kr/popup/rn/download/downloadPopup.jsp?from=plwindow&amp;uu=/upload/window/REPORT/LXH-EA24-001 F-TD140-224FFUG1R5.pdf","1등급"),IF(M170&lt;=1.2,HYPERLINK("http://www.lxhausys.co.kr/popup/rn/download/downloadPopup.jsp?from=plwindow&amp;uu=/upload/window/REPORT/LXH-EA24-001 F-TD140-224FFUG1R5.pdf","2등급"),IF(M170&lt;=1.8,HYPERLINK("http://www.lxhausys.co.kr/popup/rn/download/downloadPopup.jsp?from=plwindow&amp;uu=/upload/window/REPORT/LXH-EA24-001 F-TD140-224FFUG1R5.pdf","3등급"),IF(M170&lt;=2.3,HYPERLINK("http://www.lxhausys.co.kr/popup/rn/download/downloadPopup.jsp?from=plwindow&amp;uu=/upload/window/REPORT/LXH-EA24-001 F-TD140-224FFUG1R5.pdf","4등급"),IF(M170&lt;=2.8,HYPERLINK("http://www.lxhausys.co.kr/popup/rn/download/downloadPopup.jsp?from=plwindow&amp;uu=/upload/window/REPORT/LXH-EA24-001 F-TD140-224FFUG1R5.pdf","5등급"),HYPERLINK("http://www.lxhausys.co.kr/popup/rn/download/downloadPopup.jsp?from=plwindow&amp;uu=/upload/window/REPORT/LXH-TW22-015 S-124-222FFGL1R173.pdf","등급외"))))))</f>
        <v>3등급</v>
      </c>
      <c r="M170" s="45">
        <v>1.718</v>
      </c>
      <c r="N170" s="45">
        <v>0.51</v>
      </c>
      <c r="O170" s="42"/>
      <c r="P170" s="42" t="s">
        <v>22</v>
      </c>
      <c r="Q170" s="42" t="s">
        <v>19</v>
      </c>
      <c r="R170" s="42" t="s">
        <v>19</v>
      </c>
      <c r="S170" s="42" t="s">
        <v>19</v>
      </c>
      <c r="T170" s="42" t="s">
        <v>19</v>
      </c>
      <c r="U170" s="42" t="s">
        <v>19</v>
      </c>
      <c r="V170" s="42" t="s">
        <v>19</v>
      </c>
      <c r="W170" s="42" t="s">
        <v>19</v>
      </c>
      <c r="X170" s="42" t="s">
        <v>75</v>
      </c>
    </row>
    <row r="171" spans="1:24">
      <c r="A171" s="42" t="s">
        <v>699</v>
      </c>
      <c r="B171" s="43" t="s">
        <v>949</v>
      </c>
      <c r="C171" s="42" t="s">
        <v>1245</v>
      </c>
      <c r="D171" s="42" t="s">
        <v>20</v>
      </c>
      <c r="E171" s="43" t="s">
        <v>1404</v>
      </c>
      <c r="F171" s="44"/>
      <c r="G171" s="43"/>
      <c r="H171" s="43"/>
      <c r="I171" s="43"/>
      <c r="J171" s="42" t="s">
        <v>1410</v>
      </c>
      <c r="K171" s="43" t="str">
        <f>VLOOKUP(C171,'[1]뷰프레임 전체_상세'!$B:$E,4,0)</f>
        <v>F-TD140-224FFGS1R5</v>
      </c>
      <c r="L171" s="52" t="str">
        <f>IF(M171&lt;=0.9,HYPERLINK("http://www.lxhausys.co.kr/popup/rn/download/downloadPopup.jsp?from=plwindow&amp;uu=/upload/window/REPORT/LXH-EA23-008 F-TD140-224FFGS1R5.pdf","1등급"),IF(M171&lt;=1.2,HYPERLINK("http://www.lxhausys.co.kr/popup/rn/download/downloadPopup.jsp?from=plwindow&amp;uu=/upload/window/REPORT/LXH-EA23-008 F-TD140-224FFGS1R5.pdf","2등급"),IF(M171&lt;=1.8,HYPERLINK("http://www.lxhausys.co.kr/popup/rn/download/downloadPopup.jsp?from=plwindow&amp;uu=/upload/window/REPORT/LXH-EA23-008 F-TD140-224FFGS1R5.pdf","3등급"),IF(M171&lt;=2.3,HYPERLINK("http://www.lxhausys.co.kr/popup/rn/download/downloadPopup.jsp?from=plwindow&amp;uu=/upload/window/REPORT/LXH-EA23-008 F-TD140-224FFGS1R5.pdf","4등급"),IF(M171&lt;=2.8,HYPERLINK("http://www.lxhausys.co.kr/popup/rn/download/downloadPopup.jsp?from=plwindow&amp;uu=/upload/window/REPORT/LXH-EA23-008 F-TD140-224FFGS1R5.pdf","5등급"),HYPERLINK("http://www.lxhausys.co.kr/popup/rn/download/downloadPopup.jsp?from=plwindow&amp;uu=/upload/window/REPORT/LXH-TW22-015 S-124-222FFGL1R174.pdf","등급외"))))))</f>
        <v>3등급</v>
      </c>
      <c r="M171" s="45">
        <v>1.7090000000000001</v>
      </c>
      <c r="N171" s="45">
        <v>0.77</v>
      </c>
      <c r="O171" s="42"/>
      <c r="P171" s="42" t="s">
        <v>22</v>
      </c>
      <c r="Q171" s="42" t="s">
        <v>19</v>
      </c>
      <c r="R171" s="42" t="s">
        <v>19</v>
      </c>
      <c r="S171" s="42" t="s">
        <v>19</v>
      </c>
      <c r="T171" s="42" t="s">
        <v>19</v>
      </c>
      <c r="U171" s="42" t="s">
        <v>19</v>
      </c>
      <c r="V171" s="42" t="s">
        <v>19</v>
      </c>
      <c r="W171" s="42" t="s">
        <v>19</v>
      </c>
      <c r="X171" s="42" t="s">
        <v>75</v>
      </c>
    </row>
    <row r="172" spans="1:24">
      <c r="A172" s="42" t="s">
        <v>671</v>
      </c>
      <c r="B172" s="43" t="s">
        <v>950</v>
      </c>
      <c r="C172" s="42" t="s">
        <v>1246</v>
      </c>
      <c r="D172" s="42" t="s">
        <v>20</v>
      </c>
      <c r="E172" s="43" t="s">
        <v>741</v>
      </c>
      <c r="F172" s="44" t="s">
        <v>743</v>
      </c>
      <c r="G172" s="43"/>
      <c r="H172" s="43"/>
      <c r="I172" s="43"/>
      <c r="J172" s="42" t="s">
        <v>1410</v>
      </c>
      <c r="K172" s="43" t="str">
        <f>VLOOKUP(C172,'[1]뷰프레임 전체_상세'!$B:$E,4,0)</f>
        <v>F-250-466GSGG2A5</v>
      </c>
      <c r="L172" s="52" t="str">
        <f>IF(M172&lt;=0.9,HYPERLINK("http://www.lxhausys.co.kr/popup/rn/download/downloadPopup.jsp?from=plwindow&amp;uu=/upload/window/REPORT/LXH-EA24-217 F-250-466GSGG2A5.pdf","1등급"),IF(M172&lt;=1.2,HYPERLINK("http://www.lxhausys.co.kr/popup/rn/download/downloadPopup.jsp?from=plwindow&amp;uu=/upload/window/REPORT/LXH-EA24-217 F-250-466GSGG2A5.pdf","2등급"),IF(M172&lt;=1.8,HYPERLINK("http://www.lxhausys.co.kr/popup/rn/download/downloadPopup.jsp?from=plwindow&amp;uu=/upload/window/REPORT/LXH-EA24-217 F-250-466GSGG2A5.pdf","3등급"),IF(M172&lt;=2.3,HYPERLINK("http://www.lxhausys.co.kr/popup/rn/download/downloadPopup.jsp?from=plwindow&amp;uu=/upload/window/REPORT/LXH-EA24-217 F-250-466GSGG2A5.pdf","4등급"),IF(M172&lt;=2.8,HYPERLINK("http://www.lxhausys.co.kr/popup/rn/download/downloadPopup.jsp?from=plwindow&amp;uu=/upload/window/REPORT/LXH-EA24-217 F-250-466GSGG2A5.pdf","5등급"),HYPERLINK("http://www.lxhausys.co.kr/popup/rn/download/downloadPopup.jsp?from=plwindow&amp;uu=/upload/window/REPORT/LXH-TW22-015 S-124-222FFGL1R175.pdf","등급외"))))))</f>
        <v>1등급</v>
      </c>
      <c r="M172" s="45">
        <v>0.88200000000000001</v>
      </c>
      <c r="N172" s="45">
        <v>0.81</v>
      </c>
      <c r="O172" s="42"/>
      <c r="P172" s="42" t="s">
        <v>22</v>
      </c>
      <c r="Q172" s="42" t="s">
        <v>19</v>
      </c>
      <c r="R172" s="42" t="s">
        <v>19</v>
      </c>
      <c r="S172" s="42" t="s">
        <v>19</v>
      </c>
      <c r="T172" s="42" t="s">
        <v>19</v>
      </c>
      <c r="U172" s="42" t="s">
        <v>19</v>
      </c>
      <c r="V172" s="42" t="s">
        <v>19</v>
      </c>
      <c r="W172" s="42" t="s">
        <v>19</v>
      </c>
      <c r="X172" s="42" t="s">
        <v>75</v>
      </c>
    </row>
    <row r="173" spans="1:24">
      <c r="A173" s="42" t="s">
        <v>671</v>
      </c>
      <c r="B173" s="43" t="s">
        <v>951</v>
      </c>
      <c r="C173" s="42" t="s">
        <v>1247</v>
      </c>
      <c r="D173" s="42" t="s">
        <v>20</v>
      </c>
      <c r="E173" s="43" t="s">
        <v>742</v>
      </c>
      <c r="F173" s="44" t="s">
        <v>743</v>
      </c>
      <c r="G173" s="43"/>
      <c r="H173" s="43"/>
      <c r="I173" s="43"/>
      <c r="J173" s="42" t="s">
        <v>1410</v>
      </c>
      <c r="K173" s="43" t="str">
        <f>VLOOKUP(C173,'[1]뷰프레임 전체_상세'!$B:$E,4,0)</f>
        <v>F-250-466GSGG1R5</v>
      </c>
      <c r="L173" s="52" t="str">
        <f>IF(M173&lt;=0.9,HYPERLINK("http://www.lxhausys.co.kr/popup/rn/download/downloadPopup.jsp?from=plwindow&amp;uu=/upload/window/REPORT/LXH-EA24-216 F-250-466GSGG1R5.pdf","1등급"),IF(M173&lt;=1.2,HYPERLINK("http://www.lxhausys.co.kr/popup/rn/download/downloadPopup.jsp?from=plwindow&amp;uu=/upload/window/REPORT/LXH-EA24-216 F-250-466GSGG1R5.pdf","2등급"),IF(M173&lt;=1.8,HYPERLINK("http://www.lxhausys.co.kr/popup/rn/download/downloadPopup.jsp?from=plwindow&amp;uu=/upload/window/REPORT/LXH-EA24-216 F-250-466GSGG1R5.pdf","3등급"),IF(M173&lt;=2.3,HYPERLINK("http://www.lxhausys.co.kr/popup/rn/download/downloadPopup.jsp?from=plwindow&amp;uu=/upload/window/REPORT/LXH-EA24-216 F-250-466GSGG1R5.pdf","4등급"),IF(M173&lt;=2.8,HYPERLINK("http://www.lxhausys.co.kr/popup/rn/download/downloadPopup.jsp?from=plwindow&amp;uu=/upload/window/REPORT/LXH-EA24-216 F-250-466GSGG1R5.pdf","5등급"),HYPERLINK("http://www.lxhausys.co.kr/popup/rn/download/downloadPopup.jsp?from=plwindow&amp;uu=/upload/window/REPORT/LXH-TW22-015 S-124-222FFGL1R176.pdf","등급외"))))))</f>
        <v>1등급</v>
      </c>
      <c r="M173" s="45">
        <v>0.78900000000000003</v>
      </c>
      <c r="N173" s="45">
        <v>0.8</v>
      </c>
      <c r="O173" s="42"/>
      <c r="P173" s="42" t="s">
        <v>22</v>
      </c>
      <c r="Q173" s="42" t="s">
        <v>19</v>
      </c>
      <c r="R173" s="42" t="s">
        <v>19</v>
      </c>
      <c r="S173" s="42" t="s">
        <v>19</v>
      </c>
      <c r="T173" s="42" t="s">
        <v>19</v>
      </c>
      <c r="U173" s="42" t="s">
        <v>19</v>
      </c>
      <c r="V173" s="42" t="s">
        <v>19</v>
      </c>
      <c r="W173" s="42" t="s">
        <v>19</v>
      </c>
      <c r="X173" s="42" t="s">
        <v>75</v>
      </c>
    </row>
    <row r="174" spans="1:24">
      <c r="A174" s="42" t="s">
        <v>671</v>
      </c>
      <c r="B174" s="43" t="s">
        <v>952</v>
      </c>
      <c r="C174" s="42" t="s">
        <v>1248</v>
      </c>
      <c r="D174" s="42" t="s">
        <v>20</v>
      </c>
      <c r="E174" s="43" t="s">
        <v>730</v>
      </c>
      <c r="F174" s="44" t="s">
        <v>743</v>
      </c>
      <c r="G174" s="43"/>
      <c r="H174" s="43"/>
      <c r="I174" s="43"/>
      <c r="J174" s="42" t="s">
        <v>1410</v>
      </c>
      <c r="K174" s="43" t="str">
        <f>VLOOKUP(C174,'[1]뷰프레임 전체_상세'!$B:$E,4,0)</f>
        <v>F-250-466UGGG2A5</v>
      </c>
      <c r="L174" s="52" t="str">
        <f>IF(M174&lt;=0.9,HYPERLINK("http://www.lxhausys.co.kr/popup/rn/download/downloadPopup.jsp?from=plwindow&amp;uu=/upload/window/REPORT/LXH-EA24-215 F-250-466UGGG2A5.pdf","1등급"),IF(M174&lt;=1.2,HYPERLINK("http://www.lxhausys.co.kr/popup/rn/download/downloadPopup.jsp?from=plwindow&amp;uu=/upload/window/REPORT/LXH-EA24-215 F-250-466UGGG2A5.pdf","2등급"),IF(M174&lt;=1.8,HYPERLINK("http://www.lxhausys.co.kr/popup/rn/download/downloadPopup.jsp?from=plwindow&amp;uu=/upload/window/REPORT/LXH-EA24-215 F-250-466UGGG2A5.pdf","3등급"),IF(M174&lt;=2.3,HYPERLINK("http://www.lxhausys.co.kr/popup/rn/download/downloadPopup.jsp?from=plwindow&amp;uu=/upload/window/REPORT/LXH-EA24-215 F-250-466UGGG2A5.pdf","4등급"),IF(M174&lt;=2.8,HYPERLINK("http://www.lxhausys.co.kr/popup/rn/download/downloadPopup.jsp?from=plwindow&amp;uu=/upload/window/REPORT/LXH-EA24-215 F-250-466UGGG2A5.pdf","5등급"),HYPERLINK("http://www.lxhausys.co.kr/popup/rn/download/downloadPopup.jsp?from=plwindow&amp;uu=/upload/window/REPORT/LXH-TW22-015 S-124-222FFGL1R177.pdf","등급외"))))))</f>
        <v>1등급</v>
      </c>
      <c r="M174" s="45">
        <v>0.76400000000000001</v>
      </c>
      <c r="N174" s="45">
        <v>0.84</v>
      </c>
      <c r="O174" s="42"/>
      <c r="P174" s="42" t="s">
        <v>22</v>
      </c>
      <c r="Q174" s="42" t="s">
        <v>19</v>
      </c>
      <c r="R174" s="42" t="s">
        <v>19</v>
      </c>
      <c r="S174" s="42" t="s">
        <v>19</v>
      </c>
      <c r="T174" s="42" t="s">
        <v>19</v>
      </c>
      <c r="U174" s="42" t="s">
        <v>19</v>
      </c>
      <c r="V174" s="42" t="s">
        <v>19</v>
      </c>
      <c r="W174" s="42" t="s">
        <v>19</v>
      </c>
      <c r="X174" s="42" t="s">
        <v>75</v>
      </c>
    </row>
    <row r="175" spans="1:24">
      <c r="A175" s="42" t="s">
        <v>700</v>
      </c>
      <c r="B175" s="43" t="s">
        <v>953</v>
      </c>
      <c r="C175" s="42" t="s">
        <v>1249</v>
      </c>
      <c r="D175" s="42" t="s">
        <v>20</v>
      </c>
      <c r="E175" s="43"/>
      <c r="F175" s="44" t="s">
        <v>754</v>
      </c>
      <c r="G175" s="43" t="s">
        <v>764</v>
      </c>
      <c r="H175" s="43" t="s">
        <v>772</v>
      </c>
      <c r="I175" s="43" t="s">
        <v>1076</v>
      </c>
      <c r="J175" s="42" t="s">
        <v>1410</v>
      </c>
      <c r="K175" s="43" t="str">
        <f>VLOOKUP(C175,'[1]뷰프레임 전체_상세'!$B:$E,4,0)</f>
        <v>F-250GH-8566MGGS1R5</v>
      </c>
      <c r="L175" s="52" t="str">
        <f>IF(M175&lt;=0.9,HYPERLINK("http://www.lxhausys.co.kr/popup/rn/download/downloadPopup.jsp?from=plwindow&amp;uu=/upload/window/REPORT/LXH-EA24-214 F-250GH-8566MGGS1R5.pdf","1등급"),IF(M175&lt;=1.2,HYPERLINK("http://www.lxhausys.co.kr/popup/rn/download/downloadPopup.jsp?from=plwindow&amp;uu=/upload/window/REPORT/LXH-EA24-214 F-250GH-8566MGGS1R5.pdf","2등급"),IF(M175&lt;=1.8,HYPERLINK("http://www.lxhausys.co.kr/popup/rn/download/downloadPopup.jsp?from=plwindow&amp;uu=/upload/window/REPORT/LXH-EA24-214 F-250GH-8566MGGS1R5.pdf","3등급"),IF(M175&lt;=2.3,HYPERLINK("http://www.lxhausys.co.kr/popup/rn/download/downloadPopup.jsp?from=plwindow&amp;uu=/upload/window/REPORT/LXH-EA24-214 F-250GH-8566MGGS1R5.pdf","4등급"),IF(M175&lt;=2.8,HYPERLINK("http://www.lxhausys.co.kr/popup/rn/download/downloadPopup.jsp?from=plwindow&amp;uu=/upload/window/REPORT/LXH-EA24-214 F-250GH-8566MGGS1R5.pdf","5등급"),HYPERLINK("http://www.lxhausys.co.kr/popup/rn/download/downloadPopup.jsp?from=plwindow&amp;uu=/upload/window/REPORT/LXH-TW22-015 S-124-222FFGL1R178.pdf","등급외"))))))</f>
        <v>1등급</v>
      </c>
      <c r="M175" s="45">
        <v>0.74099999999999999</v>
      </c>
      <c r="N175" s="45">
        <v>0.8</v>
      </c>
      <c r="O175" s="42"/>
      <c r="P175" s="42" t="s">
        <v>22</v>
      </c>
      <c r="Q175" s="42" t="s">
        <v>19</v>
      </c>
      <c r="R175" s="42" t="s">
        <v>19</v>
      </c>
      <c r="S175" s="42" t="s">
        <v>19</v>
      </c>
      <c r="T175" s="42" t="s">
        <v>19</v>
      </c>
      <c r="U175" s="42" t="s">
        <v>19</v>
      </c>
      <c r="V175" s="42" t="s">
        <v>19</v>
      </c>
      <c r="W175" s="42" t="s">
        <v>19</v>
      </c>
      <c r="X175" s="42" t="s">
        <v>75</v>
      </c>
    </row>
    <row r="176" spans="1:24">
      <c r="A176" s="42" t="s">
        <v>701</v>
      </c>
      <c r="B176" s="43" t="s">
        <v>954</v>
      </c>
      <c r="C176" s="42" t="s">
        <v>1250</v>
      </c>
      <c r="D176" s="42" t="s">
        <v>20</v>
      </c>
      <c r="E176" s="43"/>
      <c r="F176" s="44"/>
      <c r="G176" s="43" t="s">
        <v>765</v>
      </c>
      <c r="H176" s="43" t="s">
        <v>773</v>
      </c>
      <c r="I176" s="43" t="s">
        <v>1076</v>
      </c>
      <c r="J176" s="42" t="s">
        <v>1410</v>
      </c>
      <c r="K176" s="43" t="str">
        <f>VLOOKUP(C176,'[1]뷰프레임 전체_상세'!$B:$E,4,0)</f>
        <v>F-140GH-7526MSGS1A5</v>
      </c>
      <c r="L176" s="52" t="str">
        <f>IF(M176&lt;=0.9,HYPERLINK("http://www.lxhausys.co.kr/popup/rn/download/downloadPopup.jsp?from=plwindow&amp;uu=/upload/window/REPORT/LXH-EA24-213 F-140GH-7526MSGS1A5.pdf","1등급"),IF(M176&lt;=1.2,HYPERLINK("http://www.lxhausys.co.kr/popup/rn/download/downloadPopup.jsp?from=plwindow&amp;uu=/upload/window/REPORT/LXH-EA24-213 F-140GH-7526MSGS1A5.pdf","2등급"),IF(M176&lt;=1.8,HYPERLINK("http://www.lxhausys.co.kr/popup/rn/download/downloadPopup.jsp?from=plwindow&amp;uu=/upload/window/REPORT/LXH-EA24-213 F-140GH-7526MSGS1A5.pdf","3등급"),IF(M176&lt;=2.3,HYPERLINK("http://www.lxhausys.co.kr/popup/rn/download/downloadPopup.jsp?from=plwindow&amp;uu=/upload/window/REPORT/LXH-EA24-213 F-140GH-7526MSGS1A5.pdf","4등급"),IF(M176&lt;=2.8,HYPERLINK("http://www.lxhausys.co.kr/popup/rn/download/downloadPopup.jsp?from=plwindow&amp;uu=/upload/window/REPORT/LXH-EA24-213 F-140GH-7526MSGS1A5.pdf","5등급"),HYPERLINK("http://www.lxhausys.co.kr/popup/rn/download/downloadPopup.jsp?from=plwindow&amp;uu=/upload/window/REPORT/LXH-TW22-015 S-124-222FFGL1R179.pdf","등급외"))))))</f>
        <v>4등급</v>
      </c>
      <c r="M176" s="45">
        <v>1.897</v>
      </c>
      <c r="N176" s="45">
        <v>1.34</v>
      </c>
      <c r="O176" s="42"/>
      <c r="P176" s="42" t="s">
        <v>103</v>
      </c>
      <c r="Q176" s="42" t="s">
        <v>19</v>
      </c>
      <c r="R176" s="42" t="s">
        <v>19</v>
      </c>
      <c r="S176" s="42" t="s">
        <v>19</v>
      </c>
      <c r="T176" s="42" t="s">
        <v>19</v>
      </c>
      <c r="U176" s="42" t="s">
        <v>19</v>
      </c>
      <c r="V176" s="42" t="s">
        <v>19</v>
      </c>
      <c r="W176" s="42" t="s">
        <v>19</v>
      </c>
      <c r="X176" s="42" t="s">
        <v>75</v>
      </c>
    </row>
    <row r="177" spans="1:24">
      <c r="A177" s="42" t="s">
        <v>701</v>
      </c>
      <c r="B177" s="43" t="s">
        <v>955</v>
      </c>
      <c r="C177" s="42" t="s">
        <v>1251</v>
      </c>
      <c r="D177" s="42" t="s">
        <v>20</v>
      </c>
      <c r="E177" s="43"/>
      <c r="F177" s="44"/>
      <c r="G177" s="43" t="s">
        <v>766</v>
      </c>
      <c r="H177" s="43" t="s">
        <v>774</v>
      </c>
      <c r="I177" s="43" t="s">
        <v>1076</v>
      </c>
      <c r="J177" s="42" t="s">
        <v>1410</v>
      </c>
      <c r="K177" s="43" t="str">
        <f>VLOOKUP(C177,'[1]뷰프레임 전체_상세'!$B:$E,4,0)</f>
        <v>F-140GH-7526MSGS1R5</v>
      </c>
      <c r="L177" s="52" t="str">
        <f>IF(M177&lt;=0.9,HYPERLINK("http://www.lxhausys.co.kr/popup/rn/download/downloadPopup.jsp?from=plwindow&amp;uu=/upload/window/REPORT/LXH-EA24-212 F-140GH-7526MSGS1R5.pdf","1등급"),IF(M177&lt;=1.2,HYPERLINK("http://www.lxhausys.co.kr/popup/rn/download/downloadPopup.jsp?from=plwindow&amp;uu=/upload/window/REPORT/LXH-EA24-212 F-140GH-7526MSGS1R5.pdf","2등급"),IF(M177&lt;=1.8,HYPERLINK("http://www.lxhausys.co.kr/popup/rn/download/downloadPopup.jsp?from=plwindow&amp;uu=/upload/window/REPORT/LXH-EA24-212 F-140GH-7526MSGS1R5.pdf","3등급"),IF(M177&lt;=2.3,HYPERLINK("http://www.lxhausys.co.kr/popup/rn/download/downloadPopup.jsp?from=plwindow&amp;uu=/upload/window/REPORT/LXH-EA24-212 F-140GH-7526MSGS1R5.pdf","4등급"),IF(M177&lt;=2.8,HYPERLINK("http://www.lxhausys.co.kr/popup/rn/download/downloadPopup.jsp?from=plwindow&amp;uu=/upload/window/REPORT/LXH-EA24-212 F-140GH-7526MSGS1R5.pdf","5등급"),HYPERLINK("http://www.lxhausys.co.kr/popup/rn/download/downloadPopup.jsp?from=plwindow&amp;uu=/upload/window/REPORT/LXH-TW22-015 S-124-222FFGL1R180.pdf","등급외"))))))</f>
        <v>3등급</v>
      </c>
      <c r="M177" s="45">
        <v>1.7090000000000001</v>
      </c>
      <c r="N177" s="45">
        <v>1.24</v>
      </c>
      <c r="O177" s="42"/>
      <c r="P177" s="42" t="s">
        <v>103</v>
      </c>
      <c r="Q177" s="42" t="s">
        <v>19</v>
      </c>
      <c r="R177" s="42" t="s">
        <v>19</v>
      </c>
      <c r="S177" s="42" t="s">
        <v>19</v>
      </c>
      <c r="T177" s="42" t="s">
        <v>19</v>
      </c>
      <c r="U177" s="42" t="s">
        <v>19</v>
      </c>
      <c r="V177" s="42" t="s">
        <v>19</v>
      </c>
      <c r="W177" s="42" t="s">
        <v>19</v>
      </c>
      <c r="X177" s="42" t="s">
        <v>75</v>
      </c>
    </row>
    <row r="178" spans="1:24">
      <c r="A178" s="42" t="s">
        <v>701</v>
      </c>
      <c r="B178" s="43" t="s">
        <v>956</v>
      </c>
      <c r="C178" s="42" t="s">
        <v>1252</v>
      </c>
      <c r="D178" s="42" t="s">
        <v>20</v>
      </c>
      <c r="E178" s="43"/>
      <c r="F178" s="44"/>
      <c r="G178" s="43" t="s">
        <v>767</v>
      </c>
      <c r="H178" s="43" t="s">
        <v>775</v>
      </c>
      <c r="I178" s="43" t="s">
        <v>1076</v>
      </c>
      <c r="J178" s="42" t="s">
        <v>1410</v>
      </c>
      <c r="K178" s="43" t="str">
        <f>VLOOKUP(C178,'[1]뷰프레임 전체_상세'!$B:$E,4,0)</f>
        <v>F-140GH-7526KMKG1R5</v>
      </c>
      <c r="L178" s="52" t="str">
        <f>IF(M178&lt;=0.9,HYPERLINK("http://www.lxhausys.co.kr/popup/rn/download/downloadPopup.jsp?from=plwindow&amp;uu=/upload/window/REPORT/LXH-EA24-211 F-140GH-7526KMKG1R5.pdf","1등급"),IF(M178&lt;=1.2,HYPERLINK("http://www.lxhausys.co.kr/popup/rn/download/downloadPopup.jsp?from=plwindow&amp;uu=/upload/window/REPORT/LXH-EA24-211 F-140GH-7526KMKG1R5.pdf","2등급"),IF(M178&lt;=1.8,HYPERLINK("http://www.lxhausys.co.kr/popup/rn/download/downloadPopup.jsp?from=plwindow&amp;uu=/upload/window/REPORT/LXH-EA24-211 F-140GH-7526KMKG1R5.pdf","3등급"),IF(M178&lt;=2.3,HYPERLINK("http://www.lxhausys.co.kr/popup/rn/download/downloadPopup.jsp?from=plwindow&amp;uu=/upload/window/REPORT/LXH-EA24-211 F-140GH-7526KMKG1R5.pdf","4등급"),IF(M178&lt;=2.8,HYPERLINK("http://www.lxhausys.co.kr/popup/rn/download/downloadPopup.jsp?from=plwindow&amp;uu=/upload/window/REPORT/LXH-EA24-211 F-140GH-7526KMKG1R5.pdf","5등급"),HYPERLINK("http://www.lxhausys.co.kr/popup/rn/download/downloadPopup.jsp?from=plwindow&amp;uu=/upload/window/REPORT/LXH-TW22-015 S-124-222FFGL1R181.pdf","등급외"))))))</f>
        <v>3등급</v>
      </c>
      <c r="M178" s="45">
        <v>1.581</v>
      </c>
      <c r="N178" s="45">
        <v>1.27</v>
      </c>
      <c r="O178" s="42"/>
      <c r="P178" s="42" t="s">
        <v>103</v>
      </c>
      <c r="Q178" s="42" t="s">
        <v>19</v>
      </c>
      <c r="R178" s="42" t="s">
        <v>19</v>
      </c>
      <c r="S178" s="42" t="s">
        <v>19</v>
      </c>
      <c r="T178" s="42" t="s">
        <v>19</v>
      </c>
      <c r="U178" s="42" t="s">
        <v>19</v>
      </c>
      <c r="V178" s="42" t="s">
        <v>19</v>
      </c>
      <c r="W178" s="42" t="s">
        <v>19</v>
      </c>
      <c r="X178" s="42" t="s">
        <v>75</v>
      </c>
    </row>
    <row r="179" spans="1:24">
      <c r="A179" s="42" t="s">
        <v>700</v>
      </c>
      <c r="B179" s="43" t="s">
        <v>957</v>
      </c>
      <c r="C179" s="42" t="s">
        <v>1253</v>
      </c>
      <c r="D179" s="42" t="s">
        <v>20</v>
      </c>
      <c r="E179" s="43"/>
      <c r="F179" s="44" t="s">
        <v>743</v>
      </c>
      <c r="G179" s="43" t="s">
        <v>768</v>
      </c>
      <c r="H179" s="43" t="s">
        <v>776</v>
      </c>
      <c r="I179" s="43" t="s">
        <v>1076</v>
      </c>
      <c r="J179" s="42" t="s">
        <v>1410</v>
      </c>
      <c r="K179" s="43" t="str">
        <f>VLOOKUP(C179,'[1]뷰프레임 전체_상세'!$B:$E,4,0)</f>
        <v>F-250GH-8566KGGG2A5</v>
      </c>
      <c r="L179" s="52" t="str">
        <f>IF(M179&lt;=0.9,HYPERLINK("http://www.lxhausys.co.kr/popup/rn/download/downloadPopup.jsp?from=plwindow&amp;uu=/upload/window/REPORT/LXH-EA24-210 F-250GH-8566KGGG2A5.pdf","1등급"),IF(M179&lt;=1.2,HYPERLINK("http://www.lxhausys.co.kr/popup/rn/download/downloadPopup.jsp?from=plwindow&amp;uu=/upload/window/REPORT/LXH-EA24-210 F-250GH-8566KGGG2A5.pdf","2등급"),IF(M179&lt;=1.8,HYPERLINK("http://www.lxhausys.co.kr/popup/rn/download/downloadPopup.jsp?from=plwindow&amp;uu=/upload/window/REPORT/LXH-EA24-210 F-250GH-8566KGGG2A5.pdf","3등급"),IF(M179&lt;=2.3,HYPERLINK("http://www.lxhausys.co.kr/popup/rn/download/downloadPopup.jsp?from=plwindow&amp;uu=/upload/window/REPORT/LXH-EA24-210 F-250GH-8566KGGG2A5.pdf","4등급"),IF(M179&lt;=2.8,HYPERLINK("http://www.lxhausys.co.kr/popup/rn/download/downloadPopup.jsp?from=plwindow&amp;uu=/upload/window/REPORT/LXH-EA24-210 F-250GH-8566KGGG2A5.pdf","5등급"),HYPERLINK("http://www.lxhausys.co.kr/popup/rn/download/downloadPopup.jsp?from=plwindow&amp;uu=/upload/window/REPORT/LXH-TW22-015 S-124-222FFGL1R182.pdf","등급외"))))))</f>
        <v>1등급</v>
      </c>
      <c r="M179" s="45">
        <v>0.83699999999999997</v>
      </c>
      <c r="N179" s="45">
        <v>0.81</v>
      </c>
      <c r="O179" s="42"/>
      <c r="P179" s="42" t="s">
        <v>22</v>
      </c>
      <c r="Q179" s="42" t="s">
        <v>19</v>
      </c>
      <c r="R179" s="42" t="s">
        <v>19</v>
      </c>
      <c r="S179" s="42" t="s">
        <v>19</v>
      </c>
      <c r="T179" s="42" t="s">
        <v>19</v>
      </c>
      <c r="U179" s="42" t="s">
        <v>19</v>
      </c>
      <c r="V179" s="42" t="s">
        <v>19</v>
      </c>
      <c r="W179" s="42" t="s">
        <v>19</v>
      </c>
      <c r="X179" s="42" t="s">
        <v>75</v>
      </c>
    </row>
    <row r="180" spans="1:24">
      <c r="A180" s="42" t="s">
        <v>700</v>
      </c>
      <c r="B180" s="43" t="s">
        <v>958</v>
      </c>
      <c r="C180" s="42" t="s">
        <v>1254</v>
      </c>
      <c r="D180" s="42" t="s">
        <v>20</v>
      </c>
      <c r="E180" s="43"/>
      <c r="F180" s="44" t="s">
        <v>755</v>
      </c>
      <c r="G180" s="43" t="s">
        <v>764</v>
      </c>
      <c r="H180" s="43" t="s">
        <v>772</v>
      </c>
      <c r="I180" s="43" t="s">
        <v>1076</v>
      </c>
      <c r="J180" s="42" t="s">
        <v>1410</v>
      </c>
      <c r="K180" s="43" t="str">
        <f>VLOOKUP(C180,'[1]뷰프레임 전체_상세'!$B:$E,4,0)</f>
        <v>F-250GH-8566MGGS2A5</v>
      </c>
      <c r="L180" s="52" t="str">
        <f>IF(M180&lt;=0.9,HYPERLINK("http://www.lxhausys.co.kr/popup/rn/download/downloadPopup.jsp?from=plwindow&amp;uu=/upload/window/REPORT/LXH-EA24-209 F-250GH-8566MGGS2A5.pdf","1등급"),IF(M180&lt;=1.2,HYPERLINK("http://www.lxhausys.co.kr/popup/rn/download/downloadPopup.jsp?from=plwindow&amp;uu=/upload/window/REPORT/LXH-EA24-209 F-250GH-8566MGGS2A5.pdf","2등급"),IF(M180&lt;=1.8,HYPERLINK("http://www.lxhausys.co.kr/popup/rn/download/downloadPopup.jsp?from=plwindow&amp;uu=/upload/window/REPORT/LXH-EA24-209 F-250GH-8566MGGS2A5.pdf","3등급"),IF(M180&lt;=2.3,HYPERLINK("http://www.lxhausys.co.kr/popup/rn/download/downloadPopup.jsp?from=plwindow&amp;uu=/upload/window/REPORT/LXH-EA24-209 F-250GH-8566MGGS2A5.pdf","4등급"),IF(M180&lt;=2.8,HYPERLINK("http://www.lxhausys.co.kr/popup/rn/download/downloadPopup.jsp?from=plwindow&amp;uu=/upload/window/REPORT/LXH-EA24-209 F-250GH-8566MGGS2A5.pdf","5등급"),HYPERLINK("http://www.lxhausys.co.kr/popup/rn/download/downloadPopup.jsp?from=plwindow&amp;uu=/upload/window/REPORT/LXH-TW22-015 S-124-222FFGL1R183.pdf","등급외"))))))</f>
        <v>1등급</v>
      </c>
      <c r="M180" s="45">
        <v>0.83799999999999997</v>
      </c>
      <c r="N180" s="45">
        <v>0.72</v>
      </c>
      <c r="O180" s="42"/>
      <c r="P180" s="42" t="s">
        <v>22</v>
      </c>
      <c r="Q180" s="42" t="s">
        <v>19</v>
      </c>
      <c r="R180" s="42" t="s">
        <v>19</v>
      </c>
      <c r="S180" s="42" t="s">
        <v>19</v>
      </c>
      <c r="T180" s="42" t="s">
        <v>19</v>
      </c>
      <c r="U180" s="42" t="s">
        <v>19</v>
      </c>
      <c r="V180" s="42" t="s">
        <v>19</v>
      </c>
      <c r="W180" s="42" t="s">
        <v>19</v>
      </c>
      <c r="X180" s="42" t="s">
        <v>75</v>
      </c>
    </row>
    <row r="181" spans="1:24">
      <c r="A181" s="42" t="s">
        <v>701</v>
      </c>
      <c r="B181" s="43" t="s">
        <v>959</v>
      </c>
      <c r="C181" s="42" t="s">
        <v>1255</v>
      </c>
      <c r="D181" s="42" t="s">
        <v>20</v>
      </c>
      <c r="E181" s="43"/>
      <c r="F181" s="44"/>
      <c r="G181" s="43" t="s">
        <v>768</v>
      </c>
      <c r="H181" s="43" t="s">
        <v>776</v>
      </c>
      <c r="I181" s="43" t="s">
        <v>1076</v>
      </c>
      <c r="J181" s="42" t="s">
        <v>1410</v>
      </c>
      <c r="K181" s="43" t="str">
        <f>VLOOKUP(C181,'[1]뷰프레임 전체_상세'!$B:$E,4,0)</f>
        <v>F-140GH-7526KMKG1A5</v>
      </c>
      <c r="L181" s="52" t="str">
        <f>IF(M181&lt;=0.9,HYPERLINK("http://www.lxhausys.co.kr/popup/rn/download/downloadPopup.jsp?from=plwindow&amp;uu=/upload/window/REPORT/LXH-EA24-208 F-140GH-7526KMKG1A5.pdf","1등급"),IF(M181&lt;=1.2,HYPERLINK("http://www.lxhausys.co.kr/popup/rn/download/downloadPopup.jsp?from=plwindow&amp;uu=/upload/window/REPORT/LXH-EA24-208 F-140GH-7526KMKG1A5.pdf","2등급"),IF(M181&lt;=1.8,HYPERLINK("http://www.lxhausys.co.kr/popup/rn/download/downloadPopup.jsp?from=plwindow&amp;uu=/upload/window/REPORT/LXH-EA24-208 F-140GH-7526KMKG1A5.pdf","3등급"),IF(M181&lt;=2.3,HYPERLINK("http://www.lxhausys.co.kr/popup/rn/download/downloadPopup.jsp?from=plwindow&amp;uu=/upload/window/REPORT/LXH-EA24-208 F-140GH-7526KMKG1A5.pdf","4등급"),IF(M181&lt;=2.8,HYPERLINK("http://www.lxhausys.co.kr/popup/rn/download/downloadPopup.jsp?from=plwindow&amp;uu=/upload/window/REPORT/LXH-EA24-208 F-140GH-7526KMKG1A5.pdf","5등급"),HYPERLINK("http://www.lxhausys.co.kr/popup/rn/download/downloadPopup.jsp?from=plwindow&amp;uu=/upload/window/REPORT/LXH-TW22-015 S-124-222FFGL1R184.pdf","등급외"))))))</f>
        <v>3등급</v>
      </c>
      <c r="M181" s="45">
        <v>1.7809999999999999</v>
      </c>
      <c r="N181" s="45">
        <v>1.46</v>
      </c>
      <c r="O181" s="42"/>
      <c r="P181" s="42" t="s">
        <v>103</v>
      </c>
      <c r="Q181" s="42" t="s">
        <v>19</v>
      </c>
      <c r="R181" s="42" t="s">
        <v>19</v>
      </c>
      <c r="S181" s="42" t="s">
        <v>19</v>
      </c>
      <c r="T181" s="42" t="s">
        <v>19</v>
      </c>
      <c r="U181" s="42" t="s">
        <v>19</v>
      </c>
      <c r="V181" s="42" t="s">
        <v>19</v>
      </c>
      <c r="W181" s="42" t="s">
        <v>19</v>
      </c>
      <c r="X181" s="42" t="s">
        <v>75</v>
      </c>
    </row>
    <row r="182" spans="1:24">
      <c r="A182" s="42" t="s">
        <v>700</v>
      </c>
      <c r="B182" s="43" t="s">
        <v>960</v>
      </c>
      <c r="C182" s="42" t="s">
        <v>1256</v>
      </c>
      <c r="D182" s="42" t="s">
        <v>20</v>
      </c>
      <c r="E182" s="43"/>
      <c r="F182" s="44" t="s">
        <v>743</v>
      </c>
      <c r="G182" s="43" t="s">
        <v>767</v>
      </c>
      <c r="H182" s="43" t="s">
        <v>775</v>
      </c>
      <c r="I182" s="43" t="s">
        <v>1076</v>
      </c>
      <c r="J182" s="42" t="s">
        <v>1410</v>
      </c>
      <c r="K182" s="43" t="str">
        <f>VLOOKUP(C182,'[1]뷰프레임 전체_상세'!$B:$E,4,0)</f>
        <v>F-250GH-8566KGGG1R5</v>
      </c>
      <c r="L182" s="52" t="str">
        <f>IF(M182&lt;=0.9,HYPERLINK("http://www.lxhausys.co.kr/popup/rn/download/downloadPopup.jsp?from=plwindow&amp;uu=/upload/window/REPORT/LXH-EA24-207 F-250GH-8566KGGG1R5.pdf","1등급"),IF(M182&lt;=1.2,HYPERLINK("http://www.lxhausys.co.kr/popup/rn/download/downloadPopup.jsp?from=plwindow&amp;uu=/upload/window/REPORT/LXH-EA24-207 F-250GH-8566KGGG1R5.pdf","2등급"),IF(M182&lt;=1.8,HYPERLINK("http://www.lxhausys.co.kr/popup/rn/download/downloadPopup.jsp?from=plwindow&amp;uu=/upload/window/REPORT/LXH-EA24-207 F-250GH-8566KGGG1R5.pdf","3등급"),IF(M182&lt;=2.3,HYPERLINK("http://www.lxhausys.co.kr/popup/rn/download/downloadPopup.jsp?from=plwindow&amp;uu=/upload/window/REPORT/LXH-EA24-207 F-250GH-8566KGGG1R5.pdf","4등급"),IF(M182&lt;=2.8,HYPERLINK("http://www.lxhausys.co.kr/popup/rn/download/downloadPopup.jsp?from=plwindow&amp;uu=/upload/window/REPORT/LXH-EA24-207 F-250GH-8566KGGG1R5.pdf","5등급"),HYPERLINK("http://www.lxhausys.co.kr/popup/rn/download/downloadPopup.jsp?from=plwindow&amp;uu=/upload/window/REPORT/LXH-TW22-015 S-124-222FFGL1R185.pdf","등급외"))))))</f>
        <v>1등급</v>
      </c>
      <c r="M182" s="45">
        <v>0.74</v>
      </c>
      <c r="N182" s="45">
        <v>0.79</v>
      </c>
      <c r="O182" s="42"/>
      <c r="P182" s="42" t="s">
        <v>22</v>
      </c>
      <c r="Q182" s="42" t="s">
        <v>19</v>
      </c>
      <c r="R182" s="42" t="s">
        <v>19</v>
      </c>
      <c r="S182" s="42" t="s">
        <v>19</v>
      </c>
      <c r="T182" s="42" t="s">
        <v>19</v>
      </c>
      <c r="U182" s="42" t="s">
        <v>19</v>
      </c>
      <c r="V182" s="42" t="s">
        <v>19</v>
      </c>
      <c r="W182" s="42" t="s">
        <v>19</v>
      </c>
      <c r="X182" s="42" t="s">
        <v>75</v>
      </c>
    </row>
    <row r="183" spans="1:24">
      <c r="A183" s="42" t="s">
        <v>702</v>
      </c>
      <c r="B183" s="43" t="s">
        <v>961</v>
      </c>
      <c r="C183" s="42" t="s">
        <v>1257</v>
      </c>
      <c r="D183" s="42" t="s">
        <v>20</v>
      </c>
      <c r="E183" s="43"/>
      <c r="F183" s="44" t="s">
        <v>755</v>
      </c>
      <c r="G183" s="43" t="s">
        <v>764</v>
      </c>
      <c r="H183" s="43" t="s">
        <v>772</v>
      </c>
      <c r="I183" s="43" t="s">
        <v>1076</v>
      </c>
      <c r="J183" s="42" t="s">
        <v>1410</v>
      </c>
      <c r="K183" s="43" t="str">
        <f>VLOOKUP(C183,'[1]뷰프레임 전체_상세'!$B:$E,4,0)</f>
        <v>F-265GH-8566MGGS2A5</v>
      </c>
      <c r="L183" s="52" t="str">
        <f>IF(M183&lt;=0.9,HYPERLINK("http://www.lxhausys.co.kr/popup/rn/download/downloadPopup.jsp?from=plwindow&amp;uu=/upload/window/REPORT/LXH-EA24-206 F-265GH-8566MGGS2A5.pdf","1등급"),IF(M183&lt;=1.2,HYPERLINK("http://www.lxhausys.co.kr/popup/rn/download/downloadPopup.jsp?from=plwindow&amp;uu=/upload/window/REPORT/LXH-EA24-206 F-265GH-8566MGGS2A5.pdf","2등급"),IF(M183&lt;=1.8,HYPERLINK("http://www.lxhausys.co.kr/popup/rn/download/downloadPopup.jsp?from=plwindow&amp;uu=/upload/window/REPORT/LXH-EA24-206 F-265GH-8566MGGS2A5.pdf","3등급"),IF(M183&lt;=2.3,HYPERLINK("http://www.lxhausys.co.kr/popup/rn/download/downloadPopup.jsp?from=plwindow&amp;uu=/upload/window/REPORT/LXH-EA24-206 F-265GH-8566MGGS2A5.pdf","4등급"),IF(M183&lt;=2.8,HYPERLINK("http://www.lxhausys.co.kr/popup/rn/download/downloadPopup.jsp?from=plwindow&amp;uu=/upload/window/REPORT/LXH-EA24-206 F-265GH-8566MGGS2A5.pdf","5등급"),HYPERLINK("http://www.lxhausys.co.kr/popup/rn/download/downloadPopup.jsp?from=plwindow&amp;uu=/upload/window/REPORT/LXH-TW22-015 S-124-222FFGL1R186.pdf","등급외"))))))</f>
        <v>1등급</v>
      </c>
      <c r="M183" s="45">
        <v>0.86799999999999999</v>
      </c>
      <c r="N183" s="45">
        <v>0.84</v>
      </c>
      <c r="O183" s="42"/>
      <c r="P183" s="42" t="s">
        <v>22</v>
      </c>
      <c r="Q183" s="42" t="s">
        <v>19</v>
      </c>
      <c r="R183" s="42" t="s">
        <v>19</v>
      </c>
      <c r="S183" s="42" t="s">
        <v>19</v>
      </c>
      <c r="T183" s="42" t="s">
        <v>19</v>
      </c>
      <c r="U183" s="42" t="s">
        <v>19</v>
      </c>
      <c r="V183" s="42" t="s">
        <v>19</v>
      </c>
      <c r="W183" s="42" t="s">
        <v>19</v>
      </c>
      <c r="X183" s="42" t="s">
        <v>75</v>
      </c>
    </row>
    <row r="184" spans="1:24">
      <c r="A184" s="42" t="s">
        <v>702</v>
      </c>
      <c r="B184" s="43" t="s">
        <v>962</v>
      </c>
      <c r="C184" s="42" t="s">
        <v>1258</v>
      </c>
      <c r="D184" s="42" t="s">
        <v>20</v>
      </c>
      <c r="E184" s="43"/>
      <c r="F184" s="44" t="s">
        <v>754</v>
      </c>
      <c r="G184" s="43" t="s">
        <v>764</v>
      </c>
      <c r="H184" s="43" t="s">
        <v>772</v>
      </c>
      <c r="I184" s="43" t="s">
        <v>1076</v>
      </c>
      <c r="J184" s="42" t="s">
        <v>1410</v>
      </c>
      <c r="K184" s="43" t="str">
        <f>VLOOKUP(C184,'[1]뷰프레임 전체_상세'!$B:$E,4,0)</f>
        <v>F-265GH-8566MGGS1R5</v>
      </c>
      <c r="L184" s="52" t="str">
        <f>IF(M184&lt;=0.9,HYPERLINK("http://www.lxhausys.co.kr/popup/rn/download/downloadPopup.jsp?from=plwindow&amp;uu=/upload/window/REPORT/LXH-EA24-205 F-265GH-8566MGGS1R5.pdf","1등급"),IF(M184&lt;=1.2,HYPERLINK("http://www.lxhausys.co.kr/popup/rn/download/downloadPopup.jsp?from=plwindow&amp;uu=/upload/window/REPORT/LXH-EA24-205 F-265GH-8566MGGS1R5.pdf","2등급"),IF(M184&lt;=1.8,HYPERLINK("http://www.lxhausys.co.kr/popup/rn/download/downloadPopup.jsp?from=plwindow&amp;uu=/upload/window/REPORT/LXH-EA24-205 F-265GH-8566MGGS1R5.pdf","3등급"),IF(M184&lt;=2.3,HYPERLINK("http://www.lxhausys.co.kr/popup/rn/download/downloadPopup.jsp?from=plwindow&amp;uu=/upload/window/REPORT/LXH-EA24-205 F-265GH-8566MGGS1R5.pdf","4등급"),IF(M184&lt;=2.8,HYPERLINK("http://www.lxhausys.co.kr/popup/rn/download/downloadPopup.jsp?from=plwindow&amp;uu=/upload/window/REPORT/LXH-EA24-205 F-265GH-8566MGGS1R5.pdf","5등급"),HYPERLINK("http://www.lxhausys.co.kr/popup/rn/download/downloadPopup.jsp?from=plwindow&amp;uu=/upload/window/REPORT/LXH-TW22-015 S-124-222FFGL1R187.pdf","등급외"))))))</f>
        <v>1등급</v>
      </c>
      <c r="M184" s="45">
        <v>0.78</v>
      </c>
      <c r="N184" s="45">
        <v>0.82</v>
      </c>
      <c r="O184" s="42"/>
      <c r="P184" s="42" t="s">
        <v>22</v>
      </c>
      <c r="Q184" s="42" t="s">
        <v>19</v>
      </c>
      <c r="R184" s="42" t="s">
        <v>19</v>
      </c>
      <c r="S184" s="42" t="s">
        <v>19</v>
      </c>
      <c r="T184" s="42" t="s">
        <v>19</v>
      </c>
      <c r="U184" s="42" t="s">
        <v>19</v>
      </c>
      <c r="V184" s="42" t="s">
        <v>19</v>
      </c>
      <c r="W184" s="42" t="s">
        <v>19</v>
      </c>
      <c r="X184" s="42" t="s">
        <v>75</v>
      </c>
    </row>
    <row r="185" spans="1:24">
      <c r="A185" s="42" t="s">
        <v>702</v>
      </c>
      <c r="B185" s="43" t="s">
        <v>963</v>
      </c>
      <c r="C185" s="42" t="s">
        <v>1259</v>
      </c>
      <c r="D185" s="42" t="s">
        <v>20</v>
      </c>
      <c r="E185" s="43"/>
      <c r="F185" s="44" t="s">
        <v>743</v>
      </c>
      <c r="G185" s="43" t="s">
        <v>768</v>
      </c>
      <c r="H185" s="43" t="s">
        <v>776</v>
      </c>
      <c r="I185" s="43" t="s">
        <v>1076</v>
      </c>
      <c r="J185" s="42" t="s">
        <v>1410</v>
      </c>
      <c r="K185" s="43" t="str">
        <f>VLOOKUP(C185,'[1]뷰프레임 전체_상세'!$B:$E,4,0)</f>
        <v>F-265GH-8566KGGG2A5</v>
      </c>
      <c r="L185" s="52" t="str">
        <f>IF(M185&lt;=0.9,HYPERLINK("http://www.lxhausys.co.kr/popup/rn/download/downloadPopup.jsp?from=plwindow&amp;uu=/upload/window/REPORT/LXH-EA24-204 F-265GH-8566KGGG2A5.pdf","1등급"),IF(M185&lt;=1.2,HYPERLINK("http://www.lxhausys.co.kr/popup/rn/download/downloadPopup.jsp?from=plwindow&amp;uu=/upload/window/REPORT/LXH-EA24-204 F-265GH-8566KGGG2A5.pdf","2등급"),IF(M185&lt;=1.8,HYPERLINK("http://www.lxhausys.co.kr/popup/rn/download/downloadPopup.jsp?from=plwindow&amp;uu=/upload/window/REPORT/LXH-EA24-204 F-265GH-8566KGGG2A5.pdf","3등급"),IF(M185&lt;=2.3,HYPERLINK("http://www.lxhausys.co.kr/popup/rn/download/downloadPopup.jsp?from=plwindow&amp;uu=/upload/window/REPORT/LXH-EA24-204 F-265GH-8566KGGG2A5.pdf","4등급"),IF(M185&lt;=2.8,HYPERLINK("http://www.lxhausys.co.kr/popup/rn/download/downloadPopup.jsp?from=plwindow&amp;uu=/upload/window/REPORT/LXH-EA24-204 F-265GH-8566KGGG2A5.pdf","5등급"),HYPERLINK("http://www.lxhausys.co.kr/popup/rn/download/downloadPopup.jsp?from=plwindow&amp;uu=/upload/window/REPORT/LXH-TW22-015 S-124-222FFGL1R188.pdf","등급외"))))))</f>
        <v>2등급</v>
      </c>
      <c r="M185" s="45">
        <v>0.90300000000000002</v>
      </c>
      <c r="N185" s="45">
        <v>0.81</v>
      </c>
      <c r="O185" s="42"/>
      <c r="P185" s="42" t="s">
        <v>22</v>
      </c>
      <c r="Q185" s="42" t="s">
        <v>19</v>
      </c>
      <c r="R185" s="42" t="s">
        <v>19</v>
      </c>
      <c r="S185" s="42" t="s">
        <v>19</v>
      </c>
      <c r="T185" s="42" t="s">
        <v>19</v>
      </c>
      <c r="U185" s="42" t="s">
        <v>19</v>
      </c>
      <c r="V185" s="42" t="s">
        <v>19</v>
      </c>
      <c r="W185" s="42" t="s">
        <v>19</v>
      </c>
      <c r="X185" s="42" t="s">
        <v>75</v>
      </c>
    </row>
    <row r="186" spans="1:24">
      <c r="A186" s="42" t="s">
        <v>702</v>
      </c>
      <c r="B186" s="43" t="s">
        <v>964</v>
      </c>
      <c r="C186" s="42" t="s">
        <v>1260</v>
      </c>
      <c r="D186" s="42" t="s">
        <v>20</v>
      </c>
      <c r="E186" s="43"/>
      <c r="F186" s="44" t="s">
        <v>743</v>
      </c>
      <c r="G186" s="43" t="s">
        <v>767</v>
      </c>
      <c r="H186" s="43" t="s">
        <v>775</v>
      </c>
      <c r="I186" s="43" t="s">
        <v>1076</v>
      </c>
      <c r="J186" s="42" t="s">
        <v>1410</v>
      </c>
      <c r="K186" s="43" t="str">
        <f>VLOOKUP(C186,'[1]뷰프레임 전체_상세'!$B:$E,4,0)</f>
        <v>F-265GH-8566KGGG1R5</v>
      </c>
      <c r="L186" s="52" t="str">
        <f>IF(M186&lt;=0.9,HYPERLINK("http://www.lxhausys.co.kr/popup/rn/download/downloadPopup.jsp?from=plwindow&amp;uu=/upload/window/REPORT/LXH-EA24-203 F-265GH-8566KGGG1R5.pdf","1등급"),IF(M186&lt;=1.2,HYPERLINK("http://www.lxhausys.co.kr/popup/rn/download/downloadPopup.jsp?from=plwindow&amp;uu=/upload/window/REPORT/LXH-EA24-203 F-265GH-8566KGGG1R5.pdf","2등급"),IF(M186&lt;=1.8,HYPERLINK("http://www.lxhausys.co.kr/popup/rn/download/downloadPopup.jsp?from=plwindow&amp;uu=/upload/window/REPORT/LXH-EA24-203 F-265GH-8566KGGG1R5.pdf","3등급"),IF(M186&lt;=2.3,HYPERLINK("http://www.lxhausys.co.kr/popup/rn/download/downloadPopup.jsp?from=plwindow&amp;uu=/upload/window/REPORT/LXH-EA24-203 F-265GH-8566KGGG1R5.pdf","4등급"),IF(M186&lt;=2.8,HYPERLINK("http://www.lxhausys.co.kr/popup/rn/download/downloadPopup.jsp?from=plwindow&amp;uu=/upload/window/REPORT/LXH-EA24-203 F-265GH-8566KGGG1R5.pdf","5등급"),HYPERLINK("http://www.lxhausys.co.kr/popup/rn/download/downloadPopup.jsp?from=plwindow&amp;uu=/upload/window/REPORT/LXH-TW22-015 S-124-222FFGL1R189.pdf","등급외"))))))</f>
        <v>1등급</v>
      </c>
      <c r="M186" s="45">
        <v>0.80500000000000005</v>
      </c>
      <c r="N186" s="45">
        <v>0.87</v>
      </c>
      <c r="O186" s="42"/>
      <c r="P186" s="42" t="s">
        <v>22</v>
      </c>
      <c r="Q186" s="42" t="s">
        <v>19</v>
      </c>
      <c r="R186" s="42" t="s">
        <v>19</v>
      </c>
      <c r="S186" s="42" t="s">
        <v>19</v>
      </c>
      <c r="T186" s="42" t="s">
        <v>19</v>
      </c>
      <c r="U186" s="42" t="s">
        <v>19</v>
      </c>
      <c r="V186" s="42" t="s">
        <v>19</v>
      </c>
      <c r="W186" s="42" t="s">
        <v>19</v>
      </c>
      <c r="X186" s="42" t="s">
        <v>75</v>
      </c>
    </row>
    <row r="187" spans="1:24">
      <c r="A187" s="42" t="s">
        <v>703</v>
      </c>
      <c r="B187" s="43" t="s">
        <v>965</v>
      </c>
      <c r="C187" s="42" t="s">
        <v>1261</v>
      </c>
      <c r="D187" s="42" t="s">
        <v>20</v>
      </c>
      <c r="E187" s="43"/>
      <c r="F187" s="44" t="s">
        <v>743</v>
      </c>
      <c r="G187" s="43" t="s">
        <v>767</v>
      </c>
      <c r="H187" s="43" t="s">
        <v>775</v>
      </c>
      <c r="I187" s="43" t="s">
        <v>1076</v>
      </c>
      <c r="J187" s="42" t="s">
        <v>1410</v>
      </c>
      <c r="K187" s="43" t="str">
        <f>VLOOKUP(C187,'[1]뷰프레임 전체_상세'!$B:$E,4,0)</f>
        <v>F-285GH-8566KGGG1R5</v>
      </c>
      <c r="L187" s="52" t="str">
        <f>IF(M187&lt;=0.9,HYPERLINK("http://www.lxhausys.co.kr/popup/rn/download/downloadPopup.jsp?from=plwindow&amp;uu=/upload/window/REPORT/LXH-EA24-202 F-285GH-8566KGGG1R5.pdf","1등급"),IF(M187&lt;=1.2,HYPERLINK("http://www.lxhausys.co.kr/popup/rn/download/downloadPopup.jsp?from=plwindow&amp;uu=/upload/window/REPORT/LXH-EA24-202 F-285GH-8566KGGG1R5.pdf","2등급"),IF(M187&lt;=1.8,HYPERLINK("http://www.lxhausys.co.kr/popup/rn/download/downloadPopup.jsp?from=plwindow&amp;uu=/upload/window/REPORT/LXH-EA24-202 F-285GH-8566KGGG1R5.pdf","3등급"),IF(M187&lt;=2.3,HYPERLINK("http://www.lxhausys.co.kr/popup/rn/download/downloadPopup.jsp?from=plwindow&amp;uu=/upload/window/REPORT/LXH-EA24-202 F-285GH-8566KGGG1R5.pdf","4등급"),IF(M187&lt;=2.8,HYPERLINK("http://www.lxhausys.co.kr/popup/rn/download/downloadPopup.jsp?from=plwindow&amp;uu=/upload/window/REPORT/LXH-EA24-202 F-285GH-8566KGGG1R5.pdf","5등급"),HYPERLINK("http://www.lxhausys.co.kr/popup/rn/download/downloadPopup.jsp?from=plwindow&amp;uu=/upload/window/REPORT/LXH-TW22-015 S-124-222FFGL1R190.pdf","등급외"))))))</f>
        <v>1등급</v>
      </c>
      <c r="M187" s="45">
        <v>0.79700000000000004</v>
      </c>
      <c r="N187" s="45">
        <v>0.86</v>
      </c>
      <c r="O187" s="42"/>
      <c r="P187" s="42" t="s">
        <v>22</v>
      </c>
      <c r="Q187" s="42" t="s">
        <v>19</v>
      </c>
      <c r="R187" s="42" t="s">
        <v>19</v>
      </c>
      <c r="S187" s="42" t="s">
        <v>19</v>
      </c>
      <c r="T187" s="42" t="s">
        <v>19</v>
      </c>
      <c r="U187" s="42" t="s">
        <v>19</v>
      </c>
      <c r="V187" s="42" t="s">
        <v>19</v>
      </c>
      <c r="W187" s="42" t="s">
        <v>19</v>
      </c>
      <c r="X187" s="42" t="s">
        <v>75</v>
      </c>
    </row>
    <row r="188" spans="1:24">
      <c r="A188" s="42" t="s">
        <v>704</v>
      </c>
      <c r="B188" s="43" t="s">
        <v>966</v>
      </c>
      <c r="C188" s="42" t="s">
        <v>1262</v>
      </c>
      <c r="D188" s="42" t="s">
        <v>20</v>
      </c>
      <c r="E188" s="43"/>
      <c r="F188" s="44" t="s">
        <v>756</v>
      </c>
      <c r="G188" s="43" t="s">
        <v>769</v>
      </c>
      <c r="H188" s="43" t="s">
        <v>777</v>
      </c>
      <c r="I188" s="43" t="s">
        <v>1076</v>
      </c>
      <c r="J188" s="42" t="s">
        <v>1410</v>
      </c>
      <c r="K188" s="43" t="str">
        <f>VLOOKUP(C188,'[1]뷰프레임 전체_상세'!$B:$E,4,0)</f>
        <v>F-250SGHR-8322MLGL2A5</v>
      </c>
      <c r="L188" s="52" t="str">
        <f>IF(M188&lt;=0.9,HYPERLINK("http://www.lxhausys.co.kr/popup/rn/download/downloadPopup.jsp?from=plwindow&amp;uu=/upload/window/REPORT/LXH-EA24-201 F-250SGHR-8322MLGL2A5.pdf","1등급"),IF(M188&lt;=1.2,HYPERLINK("http://www.lxhausys.co.kr/popup/rn/download/downloadPopup.jsp?from=plwindow&amp;uu=/upload/window/REPORT/LXH-EA24-201 F-250SGHR-8322MLGL2A5.pdf","2등급"),IF(M188&lt;=1.8,HYPERLINK("http://www.lxhausys.co.kr/popup/rn/download/downloadPopup.jsp?from=plwindow&amp;uu=/upload/window/REPORT/LXH-EA24-201 F-250SGHR-8322MLGL2A5.pdf","3등급"),IF(M188&lt;=2.3,HYPERLINK("http://www.lxhausys.co.kr/popup/rn/download/downloadPopup.jsp?from=plwindow&amp;uu=/upload/window/REPORT/LXH-EA24-201 F-250SGHR-8322MLGL2A5.pdf","4등급"),IF(M188&lt;=2.8,HYPERLINK("http://www.lxhausys.co.kr/popup/rn/download/downloadPopup.jsp?from=plwindow&amp;uu=/upload/window/REPORT/LXH-EA24-201 F-250SGHR-8322MLGL2A5.pdf","5등급"),HYPERLINK("http://www.lxhausys.co.kr/popup/rn/download/downloadPopup.jsp?from=plwindow&amp;uu=/upload/window/REPORT/LXH-TW22-015 S-124-222FFGL1R191.pdf","등급외"))))))</f>
        <v>1등급</v>
      </c>
      <c r="M188" s="45">
        <v>0.81799999999999995</v>
      </c>
      <c r="N188" s="45">
        <v>0.81</v>
      </c>
      <c r="O188" s="42"/>
      <c r="P188" s="42" t="s">
        <v>22</v>
      </c>
      <c r="Q188" s="42" t="s">
        <v>19</v>
      </c>
      <c r="R188" s="42" t="s">
        <v>19</v>
      </c>
      <c r="S188" s="42" t="s">
        <v>19</v>
      </c>
      <c r="T188" s="42" t="s">
        <v>19</v>
      </c>
      <c r="U188" s="42" t="s">
        <v>19</v>
      </c>
      <c r="V188" s="42" t="s">
        <v>19</v>
      </c>
      <c r="W188" s="42" t="s">
        <v>19</v>
      </c>
      <c r="X188" s="42" t="s">
        <v>75</v>
      </c>
    </row>
    <row r="189" spans="1:24">
      <c r="A189" s="42" t="s">
        <v>697</v>
      </c>
      <c r="B189" s="43" t="s">
        <v>967</v>
      </c>
      <c r="C189" s="42" t="s">
        <v>1263</v>
      </c>
      <c r="D189" s="42" t="s">
        <v>20</v>
      </c>
      <c r="E189" s="43" t="s">
        <v>735</v>
      </c>
      <c r="F189" s="44" t="s">
        <v>747</v>
      </c>
      <c r="G189" s="43"/>
      <c r="H189" s="43"/>
      <c r="I189" s="43"/>
      <c r="J189" s="42" t="s">
        <v>1410</v>
      </c>
      <c r="K189" s="43" t="str">
        <f>VLOOKUP(C189,'[1]뷰프레임 전체_상세'!$B:$E,4,0)</f>
        <v>F-265S-488GGGG2A5</v>
      </c>
      <c r="L189" s="52" t="str">
        <f>IF(M189&lt;=0.9,HYPERLINK("http://www.lxhausys.co.kr/popup/rn/download/downloadPopup.jsp?from=plwindow&amp;uu=/upload/window/REPORT/LXH-EA24-200 F-265S-488GGGG2A5.pdf","1등급"),IF(M189&lt;=1.2,HYPERLINK("http://www.lxhausys.co.kr/popup/rn/download/downloadPopup.jsp?from=plwindow&amp;uu=/upload/window/REPORT/LXH-EA24-200 F-265S-488GGGG2A5.pdf","2등급"),IF(M189&lt;=1.8,HYPERLINK("http://www.lxhausys.co.kr/popup/rn/download/downloadPopup.jsp?from=plwindow&amp;uu=/upload/window/REPORT/LXH-EA24-200 F-265S-488GGGG2A5.pdf","3등급"),IF(M189&lt;=2.3,HYPERLINK("http://www.lxhausys.co.kr/popup/rn/download/downloadPopup.jsp?from=plwindow&amp;uu=/upload/window/REPORT/LXH-EA24-200 F-265S-488GGGG2A5.pdf","4등급"),IF(M189&lt;=2.8,HYPERLINK("http://www.lxhausys.co.kr/popup/rn/download/downloadPopup.jsp?from=plwindow&amp;uu=/upload/window/REPORT/LXH-EA24-200 F-265S-488GGGG2A5.pdf","5등급"),HYPERLINK("http://www.lxhausys.co.kr/popup/rn/download/downloadPopup.jsp?from=plwindow&amp;uu=/upload/window/REPORT/LXH-TW22-015 S-124-222FFGL1R192.pdf","등급외"))))))</f>
        <v>3등급</v>
      </c>
      <c r="M189" s="45">
        <v>1.2749999999999999</v>
      </c>
      <c r="N189" s="45">
        <v>0.82</v>
      </c>
      <c r="O189" s="42"/>
      <c r="P189" s="42" t="s">
        <v>22</v>
      </c>
      <c r="Q189" s="42" t="s">
        <v>19</v>
      </c>
      <c r="R189" s="42" t="s">
        <v>19</v>
      </c>
      <c r="S189" s="42" t="s">
        <v>19</v>
      </c>
      <c r="T189" s="42" t="s">
        <v>19</v>
      </c>
      <c r="U189" s="42" t="s">
        <v>19</v>
      </c>
      <c r="V189" s="42" t="s">
        <v>19</v>
      </c>
      <c r="W189" s="42" t="s">
        <v>19</v>
      </c>
      <c r="X189" s="42" t="s">
        <v>75</v>
      </c>
    </row>
    <row r="190" spans="1:24">
      <c r="A190" s="42" t="s">
        <v>697</v>
      </c>
      <c r="B190" s="43" t="s">
        <v>968</v>
      </c>
      <c r="C190" s="42" t="s">
        <v>1264</v>
      </c>
      <c r="D190" s="42" t="s">
        <v>20</v>
      </c>
      <c r="E190" s="43" t="s">
        <v>739</v>
      </c>
      <c r="F190" s="44" t="s">
        <v>749</v>
      </c>
      <c r="G190" s="43"/>
      <c r="H190" s="43"/>
      <c r="I190" s="43"/>
      <c r="J190" s="42" t="s">
        <v>1410</v>
      </c>
      <c r="K190" s="43" t="str">
        <f>VLOOKUP(C190,'[1]뷰프레임 전체_상세'!$B:$E,4,0)</f>
        <v>F-265S-444GGGG2A5</v>
      </c>
      <c r="L190" s="52" t="str">
        <f>IF(M190&lt;=0.9,HYPERLINK("http://www.lxhausys.co.kr/popup/rn/download/downloadPopup.jsp?from=plwindow&amp;uu=/upload/window/REPORT/LXH-EA24-199 F-265S-444GGGG2A5.pdf","1등급"),IF(M190&lt;=1.2,HYPERLINK("http://www.lxhausys.co.kr/popup/rn/download/downloadPopup.jsp?from=plwindow&amp;uu=/upload/window/REPORT/LXH-EA24-199 F-265S-444GGGG2A5.pdf","2등급"),IF(M190&lt;=1.8,HYPERLINK("http://www.lxhausys.co.kr/popup/rn/download/downloadPopup.jsp?from=plwindow&amp;uu=/upload/window/REPORT/LXH-EA24-199 F-265S-444GGGG2A5.pdf","3등급"),IF(M190&lt;=2.3,HYPERLINK("http://www.lxhausys.co.kr/popup/rn/download/downloadPopup.jsp?from=plwindow&amp;uu=/upload/window/REPORT/LXH-EA24-199 F-265S-444GGGG2A5.pdf","4등급"),IF(M190&lt;=2.8,HYPERLINK("http://www.lxhausys.co.kr/popup/rn/download/downloadPopup.jsp?from=plwindow&amp;uu=/upload/window/REPORT/LXH-EA24-199 F-265S-444GGGG2A5.pdf","5등급"),HYPERLINK("http://www.lxhausys.co.kr/popup/rn/download/downloadPopup.jsp?from=plwindow&amp;uu=/upload/window/REPORT/LXH-TW22-015 S-124-222FFGL1R193.pdf","등급외"))))))</f>
        <v>3등급</v>
      </c>
      <c r="M190" s="45">
        <v>1.292</v>
      </c>
      <c r="N190" s="45">
        <v>0.8</v>
      </c>
      <c r="O190" s="42"/>
      <c r="P190" s="42" t="s">
        <v>22</v>
      </c>
      <c r="Q190" s="42" t="s">
        <v>19</v>
      </c>
      <c r="R190" s="42" t="s">
        <v>19</v>
      </c>
      <c r="S190" s="42" t="s">
        <v>19</v>
      </c>
      <c r="T190" s="42" t="s">
        <v>19</v>
      </c>
      <c r="U190" s="42" t="s">
        <v>19</v>
      </c>
      <c r="V190" s="42" t="s">
        <v>19</v>
      </c>
      <c r="W190" s="42" t="s">
        <v>19</v>
      </c>
      <c r="X190" s="42" t="s">
        <v>75</v>
      </c>
    </row>
    <row r="191" spans="1:24">
      <c r="A191" s="42" t="s">
        <v>697</v>
      </c>
      <c r="B191" s="43" t="s">
        <v>969</v>
      </c>
      <c r="C191" s="42" t="s">
        <v>1265</v>
      </c>
      <c r="D191" s="42" t="s">
        <v>20</v>
      </c>
      <c r="E191" s="43" t="s">
        <v>731</v>
      </c>
      <c r="F191" s="44" t="s">
        <v>743</v>
      </c>
      <c r="G191" s="43"/>
      <c r="H191" s="43"/>
      <c r="I191" s="43"/>
      <c r="J191" s="42" t="s">
        <v>1410</v>
      </c>
      <c r="K191" s="43" t="str">
        <f>VLOOKUP(C191,'[1]뷰프레임 전체_상세'!$B:$E,4,0)</f>
        <v>F-265S-466GGGG2A5</v>
      </c>
      <c r="L191" s="52" t="str">
        <f>IF(M191&lt;=0.9,HYPERLINK("http://www.lxhausys.co.kr/popup/rn/download/downloadPopup.jsp?from=plwindow&amp;uu=/upload/window/REPORT/LXH-EA24-198 F-265S-466GGGG2A5.pdf","1등급"),IF(M191&lt;=1.2,HYPERLINK("http://www.lxhausys.co.kr/popup/rn/download/downloadPopup.jsp?from=plwindow&amp;uu=/upload/window/REPORT/LXH-EA24-198 F-265S-466GGGG2A5.pdf","2등급"),IF(M191&lt;=1.8,HYPERLINK("http://www.lxhausys.co.kr/popup/rn/download/downloadPopup.jsp?from=plwindow&amp;uu=/upload/window/REPORT/LXH-EA24-198 F-265S-466GGGG2A5.pdf","3등급"),IF(M191&lt;=2.3,HYPERLINK("http://www.lxhausys.co.kr/popup/rn/download/downloadPopup.jsp?from=plwindow&amp;uu=/upload/window/REPORT/LXH-EA24-198 F-265S-466GGGG2A5.pdf","4등급"),IF(M191&lt;=2.8,HYPERLINK("http://www.lxhausys.co.kr/popup/rn/download/downloadPopup.jsp?from=plwindow&amp;uu=/upload/window/REPORT/LXH-EA24-198 F-265S-466GGGG2A5.pdf","5등급"),HYPERLINK("http://www.lxhausys.co.kr/popup/rn/download/downloadPopup.jsp?from=plwindow&amp;uu=/upload/window/REPORT/LXH-TW22-015 S-124-222FFGL1R194.pdf","등급외"))))))</f>
        <v>3등급</v>
      </c>
      <c r="M191" s="45">
        <v>1.268</v>
      </c>
      <c r="N191" s="45">
        <v>0.81</v>
      </c>
      <c r="O191" s="42"/>
      <c r="P191" s="42" t="s">
        <v>22</v>
      </c>
      <c r="Q191" s="42" t="s">
        <v>19</v>
      </c>
      <c r="R191" s="42" t="s">
        <v>19</v>
      </c>
      <c r="S191" s="42" t="s">
        <v>19</v>
      </c>
      <c r="T191" s="42" t="s">
        <v>19</v>
      </c>
      <c r="U191" s="42" t="s">
        <v>19</v>
      </c>
      <c r="V191" s="42" t="s">
        <v>19</v>
      </c>
      <c r="W191" s="42" t="s">
        <v>19</v>
      </c>
      <c r="X191" s="42" t="s">
        <v>75</v>
      </c>
    </row>
    <row r="192" spans="1:24">
      <c r="A192" s="42" t="s">
        <v>677</v>
      </c>
      <c r="B192" s="43" t="s">
        <v>970</v>
      </c>
      <c r="C192" s="42" t="s">
        <v>1266</v>
      </c>
      <c r="D192" s="42" t="s">
        <v>20</v>
      </c>
      <c r="E192" s="43" t="s">
        <v>739</v>
      </c>
      <c r="F192" s="44" t="s">
        <v>752</v>
      </c>
      <c r="G192" s="43"/>
      <c r="H192" s="43"/>
      <c r="I192" s="43"/>
      <c r="J192" s="42" t="s">
        <v>1410</v>
      </c>
      <c r="K192" s="43" t="str">
        <f>VLOOKUP(C192,'[1]뷰프레임 전체_상세'!$B:$E,4,0)</f>
        <v>F-285-444GGGS2A5</v>
      </c>
      <c r="L192" s="52" t="str">
        <f>IF(M192&lt;=0.9,HYPERLINK("http://www.lxhausys.co.kr/popup/rn/download/downloadPopup.jsp?from=plwindow&amp;uu=/upload/window/REPORT/LXH-EA24-197 F-285-444GGGS2A5.pdf","1등급"),IF(M192&lt;=1.2,HYPERLINK("http://www.lxhausys.co.kr/popup/rn/download/downloadPopup.jsp?from=plwindow&amp;uu=/upload/window/REPORT/LXH-EA24-197 F-285-444GGGS2A5.pdf","2등급"),IF(M192&lt;=1.8,HYPERLINK("http://www.lxhausys.co.kr/popup/rn/download/downloadPopup.jsp?from=plwindow&amp;uu=/upload/window/REPORT/LXH-EA24-197 F-285-444GGGS2A5.pdf","3등급"),IF(M192&lt;=2.3,HYPERLINK("http://www.lxhausys.co.kr/popup/rn/download/downloadPopup.jsp?from=plwindow&amp;uu=/upload/window/REPORT/LXH-EA24-197 F-285-444GGGS2A5.pdf","4등급"),IF(M192&lt;=2.8,HYPERLINK("http://www.lxhausys.co.kr/popup/rn/download/downloadPopup.jsp?from=plwindow&amp;uu=/upload/window/REPORT/LXH-EA24-197 F-285-444GGGS2A5.pdf","5등급"),HYPERLINK("http://www.lxhausys.co.kr/popup/rn/download/downloadPopup.jsp?from=plwindow&amp;uu=/upload/window/REPORT/LXH-TW22-015 S-124-222FFGL1R195.pdf","등급외"))))))</f>
        <v>2등급</v>
      </c>
      <c r="M192" s="45">
        <v>0.91200000000000003</v>
      </c>
      <c r="N192" s="45">
        <v>0.79</v>
      </c>
      <c r="O192" s="42"/>
      <c r="P192" s="42" t="s">
        <v>22</v>
      </c>
      <c r="Q192" s="42" t="s">
        <v>19</v>
      </c>
      <c r="R192" s="42" t="s">
        <v>19</v>
      </c>
      <c r="S192" s="42" t="s">
        <v>19</v>
      </c>
      <c r="T192" s="42" t="s">
        <v>19</v>
      </c>
      <c r="U192" s="42" t="s">
        <v>19</v>
      </c>
      <c r="V192" s="42" t="s">
        <v>19</v>
      </c>
      <c r="W192" s="42" t="s">
        <v>19</v>
      </c>
      <c r="X192" s="42" t="s">
        <v>75</v>
      </c>
    </row>
    <row r="193" spans="1:24">
      <c r="A193" s="42" t="s">
        <v>677</v>
      </c>
      <c r="B193" s="43" t="s">
        <v>971</v>
      </c>
      <c r="C193" s="42" t="s">
        <v>1267</v>
      </c>
      <c r="D193" s="42" t="s">
        <v>20</v>
      </c>
      <c r="E193" s="43" t="s">
        <v>739</v>
      </c>
      <c r="F193" s="44" t="s">
        <v>749</v>
      </c>
      <c r="G193" s="43"/>
      <c r="H193" s="43"/>
      <c r="I193" s="43"/>
      <c r="J193" s="42" t="s">
        <v>1410</v>
      </c>
      <c r="K193" s="43" t="str">
        <f>VLOOKUP(C193,'[1]뷰프레임 전체_상세'!$B:$E,4,0)</f>
        <v>F-285-444GGGG2A5</v>
      </c>
      <c r="L193" s="52" t="str">
        <f>IF(M193&lt;=0.9,HYPERLINK("http://www.lxhausys.co.kr/popup/rn/download/downloadPopup.jsp?from=plwindow&amp;uu=/upload/window/REPORT/LXH-EA24-196 F-285-444GGGG2A5.pdf","1등급"),IF(M193&lt;=1.2,HYPERLINK("http://www.lxhausys.co.kr/popup/rn/download/downloadPopup.jsp?from=plwindow&amp;uu=/upload/window/REPORT/LXH-EA24-196 F-285-444GGGG2A5.pdf","2등급"),IF(M193&lt;=1.8,HYPERLINK("http://www.lxhausys.co.kr/popup/rn/download/downloadPopup.jsp?from=plwindow&amp;uu=/upload/window/REPORT/LXH-EA24-196 F-285-444GGGG2A5.pdf","3등급"),IF(M193&lt;=2.3,HYPERLINK("http://www.lxhausys.co.kr/popup/rn/download/downloadPopup.jsp?from=plwindow&amp;uu=/upload/window/REPORT/LXH-EA24-196 F-285-444GGGG2A5.pdf","4등급"),IF(M193&lt;=2.8,HYPERLINK("http://www.lxhausys.co.kr/popup/rn/download/downloadPopup.jsp?from=plwindow&amp;uu=/upload/window/REPORT/LXH-EA24-196 F-285-444GGGG2A5.pdf","5등급"),HYPERLINK("http://www.lxhausys.co.kr/popup/rn/download/downloadPopup.jsp?from=plwindow&amp;uu=/upload/window/REPORT/LXH-TW22-015 S-124-222FFGL1R196.pdf","등급외"))))))</f>
        <v>3등급</v>
      </c>
      <c r="M193" s="45">
        <v>1.222</v>
      </c>
      <c r="N193" s="45">
        <v>0.77</v>
      </c>
      <c r="O193" s="42"/>
      <c r="P193" s="42" t="s">
        <v>22</v>
      </c>
      <c r="Q193" s="42" t="s">
        <v>19</v>
      </c>
      <c r="R193" s="42" t="s">
        <v>19</v>
      </c>
      <c r="S193" s="42" t="s">
        <v>19</v>
      </c>
      <c r="T193" s="42" t="s">
        <v>19</v>
      </c>
      <c r="U193" s="42" t="s">
        <v>19</v>
      </c>
      <c r="V193" s="42" t="s">
        <v>19</v>
      </c>
      <c r="W193" s="42" t="s">
        <v>19</v>
      </c>
      <c r="X193" s="42" t="s">
        <v>75</v>
      </c>
    </row>
    <row r="194" spans="1:24">
      <c r="A194" s="42" t="s">
        <v>677</v>
      </c>
      <c r="B194" s="43" t="s">
        <v>972</v>
      </c>
      <c r="C194" s="42" t="s">
        <v>1268</v>
      </c>
      <c r="D194" s="42" t="s">
        <v>20</v>
      </c>
      <c r="E194" s="43" t="s">
        <v>739</v>
      </c>
      <c r="F194" s="44" t="s">
        <v>750</v>
      </c>
      <c r="G194" s="43"/>
      <c r="H194" s="43"/>
      <c r="I194" s="43"/>
      <c r="J194" s="42" t="s">
        <v>1410</v>
      </c>
      <c r="K194" s="43" t="str">
        <f>VLOOKUP(C194,'[1]뷰프레임 전체_상세'!$B:$E,4,0)</f>
        <v>F-285-444GGGS1R5</v>
      </c>
      <c r="L194" s="52" t="str">
        <f>IF(M194&lt;=0.9,HYPERLINK("http://www.lxhausys.co.kr/popup/rn/download/downloadPopup.jsp?from=plwindow&amp;uu=/upload/window/REPORT/LXH-EA24-195 F-285-444GGGS1R5.pdf","1등급"),IF(M194&lt;=1.2,HYPERLINK("http://www.lxhausys.co.kr/popup/rn/download/downloadPopup.jsp?from=plwindow&amp;uu=/upload/window/REPORT/LXH-EA24-195 F-285-444GGGS1R5.pdf","2등급"),IF(M194&lt;=1.8,HYPERLINK("http://www.lxhausys.co.kr/popup/rn/download/downloadPopup.jsp?from=plwindow&amp;uu=/upload/window/REPORT/LXH-EA24-195 F-285-444GGGS1R5.pdf","3등급"),IF(M194&lt;=2.3,HYPERLINK("http://www.lxhausys.co.kr/popup/rn/download/downloadPopup.jsp?from=plwindow&amp;uu=/upload/window/REPORT/LXH-EA24-195 F-285-444GGGS1R5.pdf","4등급"),IF(M194&lt;=2.8,HYPERLINK("http://www.lxhausys.co.kr/popup/rn/download/downloadPopup.jsp?from=plwindow&amp;uu=/upload/window/REPORT/LXH-EA24-195 F-285-444GGGS1R5.pdf","5등급"),HYPERLINK("http://www.lxhausys.co.kr/popup/rn/download/downloadPopup.jsp?from=plwindow&amp;uu=/upload/window/REPORT/LXH-TW22-015 S-124-222FFGL1R197.pdf","등급외"))))))</f>
        <v>1등급</v>
      </c>
      <c r="M194" s="45">
        <v>0.82799999999999996</v>
      </c>
      <c r="N194" s="45">
        <v>0.81</v>
      </c>
      <c r="O194" s="42"/>
      <c r="P194" s="42" t="s">
        <v>22</v>
      </c>
      <c r="Q194" s="42" t="s">
        <v>19</v>
      </c>
      <c r="R194" s="42" t="s">
        <v>19</v>
      </c>
      <c r="S194" s="42" t="s">
        <v>19</v>
      </c>
      <c r="T194" s="42" t="s">
        <v>19</v>
      </c>
      <c r="U194" s="42" t="s">
        <v>19</v>
      </c>
      <c r="V194" s="42" t="s">
        <v>19</v>
      </c>
      <c r="W194" s="42" t="s">
        <v>19</v>
      </c>
      <c r="X194" s="42" t="s">
        <v>75</v>
      </c>
    </row>
    <row r="195" spans="1:24">
      <c r="A195" s="42" t="s">
        <v>677</v>
      </c>
      <c r="B195" s="43" t="s">
        <v>973</v>
      </c>
      <c r="C195" s="42" t="s">
        <v>1269</v>
      </c>
      <c r="D195" s="42" t="s">
        <v>20</v>
      </c>
      <c r="E195" s="43" t="s">
        <v>731</v>
      </c>
      <c r="F195" s="44" t="s">
        <v>743</v>
      </c>
      <c r="G195" s="43"/>
      <c r="H195" s="43"/>
      <c r="I195" s="43"/>
      <c r="J195" s="42" t="s">
        <v>1410</v>
      </c>
      <c r="K195" s="43" t="str">
        <f>VLOOKUP(C195,'[1]뷰프레임 전체_상세'!$B:$E,4,0)</f>
        <v>F-285-466GGGG2A5</v>
      </c>
      <c r="L195" s="52" t="str">
        <f>IF(M195&lt;=0.9,HYPERLINK("http://www.lxhausys.co.kr/popup/rn/download/downloadPopup.jsp?from=plwindow&amp;uu=/upload/window/REPORT/LXH-EA24-194 F-285-466GGGG2A5.pdf","1등급"),IF(M195&lt;=1.2,HYPERLINK("http://www.lxhausys.co.kr/popup/rn/download/downloadPopup.jsp?from=plwindow&amp;uu=/upload/window/REPORT/LXH-EA24-194 F-285-466GGGG2A5.pdf","2등급"),IF(M195&lt;=1.8,HYPERLINK("http://www.lxhausys.co.kr/popup/rn/download/downloadPopup.jsp?from=plwindow&amp;uu=/upload/window/REPORT/LXH-EA24-194 F-285-466GGGG2A5.pdf","3등급"),IF(M195&lt;=2.3,HYPERLINK("http://www.lxhausys.co.kr/popup/rn/download/downloadPopup.jsp?from=plwindow&amp;uu=/upload/window/REPORT/LXH-EA24-194 F-285-466GGGG2A5.pdf","4등급"),IF(M195&lt;=2.8,HYPERLINK("http://www.lxhausys.co.kr/popup/rn/download/downloadPopup.jsp?from=plwindow&amp;uu=/upload/window/REPORT/LXH-EA24-194 F-285-466GGGG2A5.pdf","5등급"),HYPERLINK("http://www.lxhausys.co.kr/popup/rn/download/downloadPopup.jsp?from=plwindow&amp;uu=/upload/window/REPORT/LXH-TW22-015 S-124-222FFGL1R198.pdf","등급외"))))))</f>
        <v>3등급</v>
      </c>
      <c r="M195" s="45">
        <v>1.2150000000000001</v>
      </c>
      <c r="N195" s="45">
        <v>0.85</v>
      </c>
      <c r="O195" s="42"/>
      <c r="P195" s="42" t="s">
        <v>22</v>
      </c>
      <c r="Q195" s="42" t="s">
        <v>19</v>
      </c>
      <c r="R195" s="42" t="s">
        <v>19</v>
      </c>
      <c r="S195" s="42" t="s">
        <v>19</v>
      </c>
      <c r="T195" s="42" t="s">
        <v>19</v>
      </c>
      <c r="U195" s="42" t="s">
        <v>19</v>
      </c>
      <c r="V195" s="42" t="s">
        <v>19</v>
      </c>
      <c r="W195" s="42" t="s">
        <v>19</v>
      </c>
      <c r="X195" s="42" t="s">
        <v>75</v>
      </c>
    </row>
    <row r="196" spans="1:24">
      <c r="A196" s="42" t="s">
        <v>677</v>
      </c>
      <c r="B196" s="43" t="s">
        <v>974</v>
      </c>
      <c r="C196" s="42" t="s">
        <v>1270</v>
      </c>
      <c r="D196" s="42" t="s">
        <v>20</v>
      </c>
      <c r="E196" s="43" t="s">
        <v>735</v>
      </c>
      <c r="F196" s="44" t="s">
        <v>747</v>
      </c>
      <c r="G196" s="43"/>
      <c r="H196" s="43"/>
      <c r="I196" s="43"/>
      <c r="J196" s="42" t="s">
        <v>1410</v>
      </c>
      <c r="K196" s="43" t="str">
        <f>VLOOKUP(C196,'[1]뷰프레임 전체_상세'!$B:$E,4,0)</f>
        <v>F-285-488GGGG2A5</v>
      </c>
      <c r="L196" s="52" t="str">
        <f>IF(M196&lt;=0.9,HYPERLINK("http://www.lxhausys.co.kr/popup/rn/download/downloadPopup.jsp?from=plwindow&amp;uu=/upload/window/REPORT/LXH-EA24-193 F-285-488GGGG2A5.pdf","1등급"),IF(M196&lt;=1.2,HYPERLINK("http://www.lxhausys.co.kr/popup/rn/download/downloadPopup.jsp?from=plwindow&amp;uu=/upload/window/REPORT/LXH-EA24-193 F-285-488GGGG2A5.pdf","2등급"),IF(M196&lt;=1.8,HYPERLINK("http://www.lxhausys.co.kr/popup/rn/download/downloadPopup.jsp?from=plwindow&amp;uu=/upload/window/REPORT/LXH-EA24-193 F-285-488GGGG2A5.pdf","3등급"),IF(M196&lt;=2.3,HYPERLINK("http://www.lxhausys.co.kr/popup/rn/download/downloadPopup.jsp?from=plwindow&amp;uu=/upload/window/REPORT/LXH-EA24-193 F-285-488GGGG2A5.pdf","4등급"),IF(M196&lt;=2.8,HYPERLINK("http://www.lxhausys.co.kr/popup/rn/download/downloadPopup.jsp?from=plwindow&amp;uu=/upload/window/REPORT/LXH-EA24-193 F-285-488GGGG2A5.pdf","5등급"),HYPERLINK("http://www.lxhausys.co.kr/popup/rn/download/downloadPopup.jsp?from=plwindow&amp;uu=/upload/window/REPORT/LXH-TW22-015 S-124-222FFGL1R199.pdf","등급외"))))))</f>
        <v>2등급</v>
      </c>
      <c r="M196" s="45">
        <v>1.1739999999999999</v>
      </c>
      <c r="N196" s="45">
        <v>0.8</v>
      </c>
      <c r="O196" s="42"/>
      <c r="P196" s="42" t="s">
        <v>22</v>
      </c>
      <c r="Q196" s="42" t="s">
        <v>19</v>
      </c>
      <c r="R196" s="42" t="s">
        <v>19</v>
      </c>
      <c r="S196" s="42" t="s">
        <v>19</v>
      </c>
      <c r="T196" s="42" t="s">
        <v>19</v>
      </c>
      <c r="U196" s="42" t="s">
        <v>19</v>
      </c>
      <c r="V196" s="42" t="s">
        <v>19</v>
      </c>
      <c r="W196" s="42" t="s">
        <v>19</v>
      </c>
      <c r="X196" s="42" t="s">
        <v>75</v>
      </c>
    </row>
    <row r="197" spans="1:24">
      <c r="A197" s="42" t="s">
        <v>676</v>
      </c>
      <c r="B197" s="43" t="s">
        <v>975</v>
      </c>
      <c r="C197" s="42" t="s">
        <v>1271</v>
      </c>
      <c r="D197" s="42" t="s">
        <v>20</v>
      </c>
      <c r="E197" s="43" t="s">
        <v>739</v>
      </c>
      <c r="F197" s="44" t="s">
        <v>749</v>
      </c>
      <c r="G197" s="43"/>
      <c r="H197" s="43"/>
      <c r="I197" s="43"/>
      <c r="J197" s="42" t="s">
        <v>1410</v>
      </c>
      <c r="K197" s="43" t="str">
        <f>VLOOKUP(C197,'[1]뷰프레임 전체_상세'!$B:$E,4,0)</f>
        <v>F-265-444GGGG2A5</v>
      </c>
      <c r="L197" s="52" t="str">
        <f>IF(M197&lt;=0.9,HYPERLINK("http://www.lxhausys.co.kr/popup/rn/download/downloadPopup.jsp?from=plwindow&amp;uu=/upload/window/REPORT/LXH-EA24-192 F-265-444GGGG2A5.pdf","1등급"),IF(M197&lt;=1.2,HYPERLINK("http://www.lxhausys.co.kr/popup/rn/download/downloadPopup.jsp?from=plwindow&amp;uu=/upload/window/REPORT/LXH-EA24-192 F-265-444GGGG2A5.pdf","2등급"),IF(M197&lt;=1.8,HYPERLINK("http://www.lxhausys.co.kr/popup/rn/download/downloadPopup.jsp?from=plwindow&amp;uu=/upload/window/REPORT/LXH-EA24-192 F-265-444GGGG2A5.pdf","3등급"),IF(M197&lt;=2.3,HYPERLINK("http://www.lxhausys.co.kr/popup/rn/download/downloadPopup.jsp?from=plwindow&amp;uu=/upload/window/REPORT/LXH-EA24-192 F-265-444GGGG2A5.pdf","4등급"),IF(M197&lt;=2.8,HYPERLINK("http://www.lxhausys.co.kr/popup/rn/download/downloadPopup.jsp?from=plwindow&amp;uu=/upload/window/REPORT/LXH-EA24-192 F-265-444GGGG2A5.pdf","5등급"),HYPERLINK("http://www.lxhausys.co.kr/popup/rn/download/downloadPopup.jsp?from=plwindow&amp;uu=/upload/window/REPORT/LXH-TW22-015 S-124-222FFGL1R200.pdf","등급외"))))))</f>
        <v>3등급</v>
      </c>
      <c r="M197" s="45">
        <v>1.2370000000000001</v>
      </c>
      <c r="N197" s="45">
        <v>0.8</v>
      </c>
      <c r="O197" s="42"/>
      <c r="P197" s="42" t="s">
        <v>22</v>
      </c>
      <c r="Q197" s="42" t="s">
        <v>19</v>
      </c>
      <c r="R197" s="42" t="s">
        <v>19</v>
      </c>
      <c r="S197" s="42" t="s">
        <v>19</v>
      </c>
      <c r="T197" s="42" t="s">
        <v>19</v>
      </c>
      <c r="U197" s="42" t="s">
        <v>19</v>
      </c>
      <c r="V197" s="42" t="s">
        <v>19</v>
      </c>
      <c r="W197" s="42" t="s">
        <v>19</v>
      </c>
      <c r="X197" s="42" t="s">
        <v>75</v>
      </c>
    </row>
    <row r="198" spans="1:24">
      <c r="A198" s="42" t="s">
        <v>676</v>
      </c>
      <c r="B198" s="43" t="s">
        <v>976</v>
      </c>
      <c r="C198" s="42" t="s">
        <v>1272</v>
      </c>
      <c r="D198" s="42" t="s">
        <v>20</v>
      </c>
      <c r="E198" s="43" t="s">
        <v>731</v>
      </c>
      <c r="F198" s="44" t="s">
        <v>743</v>
      </c>
      <c r="G198" s="43"/>
      <c r="H198" s="43"/>
      <c r="I198" s="43"/>
      <c r="J198" s="42" t="s">
        <v>1410</v>
      </c>
      <c r="K198" s="43" t="str">
        <f>VLOOKUP(C198,'[1]뷰프레임 전체_상세'!$B:$E,4,0)</f>
        <v>F-265-466GGGG2A5</v>
      </c>
      <c r="L198" s="52" t="str">
        <f>IF(M198&lt;=0.9,HYPERLINK("http://www.lxhausys.co.kr/popup/rn/download/downloadPopup.jsp?from=plwindow&amp;uu=/upload/window/REPORT/LXH-EA24-191 F-265-466GGGG2A5.pdf","1등급"),IF(M198&lt;=1.2,HYPERLINK("http://www.lxhausys.co.kr/popup/rn/download/downloadPopup.jsp?from=plwindow&amp;uu=/upload/window/REPORT/LXH-EA24-191 F-265-466GGGG2A5.pdf","2등급"),IF(M198&lt;=1.8,HYPERLINK("http://www.lxhausys.co.kr/popup/rn/download/downloadPopup.jsp?from=plwindow&amp;uu=/upload/window/REPORT/LXH-EA24-191 F-265-466GGGG2A5.pdf","3등급"),IF(M198&lt;=2.3,HYPERLINK("http://www.lxhausys.co.kr/popup/rn/download/downloadPopup.jsp?from=plwindow&amp;uu=/upload/window/REPORT/LXH-EA24-191 F-265-466GGGG2A5.pdf","4등급"),IF(M198&lt;=2.8,HYPERLINK("http://www.lxhausys.co.kr/popup/rn/download/downloadPopup.jsp?from=plwindow&amp;uu=/upload/window/REPORT/LXH-EA24-191 F-265-466GGGG2A5.pdf","5등급"),HYPERLINK("http://www.lxhausys.co.kr/popup/rn/download/downloadPopup.jsp?from=plwindow&amp;uu=/upload/window/REPORT/LXH-TW22-015 S-124-222FFGL1R201.pdf","등급외"))))))</f>
        <v>3등급</v>
      </c>
      <c r="M198" s="45">
        <v>1.218</v>
      </c>
      <c r="N198" s="45">
        <v>0.82</v>
      </c>
      <c r="O198" s="42"/>
      <c r="P198" s="42" t="s">
        <v>22</v>
      </c>
      <c r="Q198" s="42" t="s">
        <v>19</v>
      </c>
      <c r="R198" s="42" t="s">
        <v>19</v>
      </c>
      <c r="S198" s="42" t="s">
        <v>19</v>
      </c>
      <c r="T198" s="42" t="s">
        <v>19</v>
      </c>
      <c r="U198" s="42" t="s">
        <v>19</v>
      </c>
      <c r="V198" s="42" t="s">
        <v>19</v>
      </c>
      <c r="W198" s="42" t="s">
        <v>19</v>
      </c>
      <c r="X198" s="42" t="s">
        <v>75</v>
      </c>
    </row>
    <row r="199" spans="1:24">
      <c r="A199" s="42" t="s">
        <v>676</v>
      </c>
      <c r="B199" s="43" t="s">
        <v>977</v>
      </c>
      <c r="C199" s="42" t="s">
        <v>1273</v>
      </c>
      <c r="D199" s="42" t="s">
        <v>20</v>
      </c>
      <c r="E199" s="43" t="s">
        <v>739</v>
      </c>
      <c r="F199" s="44" t="s">
        <v>750</v>
      </c>
      <c r="G199" s="43"/>
      <c r="H199" s="43"/>
      <c r="I199" s="43"/>
      <c r="J199" s="42" t="s">
        <v>1410</v>
      </c>
      <c r="K199" s="43" t="str">
        <f>VLOOKUP(C199,'[1]뷰프레임 전체_상세'!$B:$E,4,0)</f>
        <v>F-265-444GGGS1R5</v>
      </c>
      <c r="L199" s="52" t="str">
        <f>IF(M199&lt;=0.9,HYPERLINK("http://www.lxhausys.co.kr/popup/rn/download/downloadPopup.jsp?from=plwindow&amp;uu=/upload/window/REPORT/LXH-EA24-190 F-265-444GGGS1R5.pdf","1등급"),IF(M199&lt;=1.2,HYPERLINK("http://www.lxhausys.co.kr/popup/rn/download/downloadPopup.jsp?from=plwindow&amp;uu=/upload/window/REPORT/LXH-EA24-190 F-265-444GGGS1R5.pdf","2등급"),IF(M199&lt;=1.8,HYPERLINK("http://www.lxhausys.co.kr/popup/rn/download/downloadPopup.jsp?from=plwindow&amp;uu=/upload/window/REPORT/LXH-EA24-190 F-265-444GGGS1R5.pdf","3등급"),IF(M199&lt;=2.3,HYPERLINK("http://www.lxhausys.co.kr/popup/rn/download/downloadPopup.jsp?from=plwindow&amp;uu=/upload/window/REPORT/LXH-EA24-190 F-265-444GGGS1R5.pdf","4등급"),IF(M199&lt;=2.8,HYPERLINK("http://www.lxhausys.co.kr/popup/rn/download/downloadPopup.jsp?from=plwindow&amp;uu=/upload/window/REPORT/LXH-EA24-190 F-265-444GGGS1R5.pdf","5등급"),HYPERLINK("http://www.lxhausys.co.kr/popup/rn/download/downloadPopup.jsp?from=plwindow&amp;uu=/upload/window/REPORT/LXH-TW22-015 S-124-222FFGL1R202.pdf","등급외"))))))</f>
        <v>1등급</v>
      </c>
      <c r="M199" s="45">
        <v>0.84099999999999997</v>
      </c>
      <c r="N199" s="45">
        <v>0.8</v>
      </c>
      <c r="O199" s="42"/>
      <c r="P199" s="42" t="s">
        <v>22</v>
      </c>
      <c r="Q199" s="42" t="s">
        <v>19</v>
      </c>
      <c r="R199" s="42" t="s">
        <v>19</v>
      </c>
      <c r="S199" s="42" t="s">
        <v>19</v>
      </c>
      <c r="T199" s="42" t="s">
        <v>19</v>
      </c>
      <c r="U199" s="42" t="s">
        <v>19</v>
      </c>
      <c r="V199" s="42" t="s">
        <v>19</v>
      </c>
      <c r="W199" s="42" t="s">
        <v>19</v>
      </c>
      <c r="X199" s="42" t="s">
        <v>75</v>
      </c>
    </row>
    <row r="200" spans="1:24">
      <c r="A200" s="42" t="s">
        <v>676</v>
      </c>
      <c r="B200" s="43" t="s">
        <v>978</v>
      </c>
      <c r="C200" s="42" t="s">
        <v>1274</v>
      </c>
      <c r="D200" s="42" t="s">
        <v>20</v>
      </c>
      <c r="E200" s="43" t="s">
        <v>735</v>
      </c>
      <c r="F200" s="44" t="s">
        <v>747</v>
      </c>
      <c r="G200" s="43"/>
      <c r="H200" s="43"/>
      <c r="I200" s="43"/>
      <c r="J200" s="42" t="s">
        <v>1410</v>
      </c>
      <c r="K200" s="43" t="str">
        <f>VLOOKUP(C200,'[1]뷰프레임 전체_상세'!$B:$E,4,0)</f>
        <v>F-265-488GGGG2A5</v>
      </c>
      <c r="L200" s="52" t="str">
        <f>IF(M200&lt;=0.9,HYPERLINK("http://www.lxhausys.co.kr/popup/rn/download/downloadPopup.jsp?from=plwindow&amp;uu=/upload/window/REPORT/LXH-EA24-189 F-265-488GGGG2A5.pdf","1등급"),IF(M200&lt;=1.2,HYPERLINK("http://www.lxhausys.co.kr/popup/rn/download/downloadPopup.jsp?from=plwindow&amp;uu=/upload/window/REPORT/LXH-EA24-189 F-265-488GGGG2A5.pdf","2등급"),IF(M200&lt;=1.8,HYPERLINK("http://www.lxhausys.co.kr/popup/rn/download/downloadPopup.jsp?from=plwindow&amp;uu=/upload/window/REPORT/LXH-EA24-189 F-265-488GGGG2A5.pdf","3등급"),IF(M200&lt;=2.3,HYPERLINK("http://www.lxhausys.co.kr/popup/rn/download/downloadPopup.jsp?from=plwindow&amp;uu=/upload/window/REPORT/LXH-EA24-189 F-265-488GGGG2A5.pdf","4등급"),IF(M200&lt;=2.8,HYPERLINK("http://www.lxhausys.co.kr/popup/rn/download/downloadPopup.jsp?from=plwindow&amp;uu=/upload/window/REPORT/LXH-EA24-189 F-265-488GGGG2A5.pdf","5등급"),HYPERLINK("http://www.lxhausys.co.kr/popup/rn/download/downloadPopup.jsp?from=plwindow&amp;uu=/upload/window/REPORT/LXH-TW22-015 S-124-222FFGL1R203.pdf","등급외"))))))</f>
        <v>3등급</v>
      </c>
      <c r="M200" s="45">
        <v>1.2110000000000001</v>
      </c>
      <c r="N200" s="45">
        <v>0.82</v>
      </c>
      <c r="O200" s="42"/>
      <c r="P200" s="42" t="s">
        <v>22</v>
      </c>
      <c r="Q200" s="42" t="s">
        <v>19</v>
      </c>
      <c r="R200" s="42" t="s">
        <v>19</v>
      </c>
      <c r="S200" s="42" t="s">
        <v>19</v>
      </c>
      <c r="T200" s="42" t="s">
        <v>19</v>
      </c>
      <c r="U200" s="42" t="s">
        <v>19</v>
      </c>
      <c r="V200" s="42" t="s">
        <v>19</v>
      </c>
      <c r="W200" s="42" t="s">
        <v>19</v>
      </c>
      <c r="X200" s="42" t="s">
        <v>75</v>
      </c>
    </row>
    <row r="201" spans="1:24">
      <c r="A201" s="42" t="s">
        <v>676</v>
      </c>
      <c r="B201" s="43" t="s">
        <v>979</v>
      </c>
      <c r="C201" s="42" t="s">
        <v>1275</v>
      </c>
      <c r="D201" s="42" t="s">
        <v>20</v>
      </c>
      <c r="E201" s="43" t="s">
        <v>739</v>
      </c>
      <c r="F201" s="44" t="s">
        <v>752</v>
      </c>
      <c r="G201" s="43"/>
      <c r="H201" s="43"/>
      <c r="I201" s="43"/>
      <c r="J201" s="42" t="s">
        <v>1410</v>
      </c>
      <c r="K201" s="43" t="str">
        <f>VLOOKUP(C201,'[1]뷰프레임 전체_상세'!$B:$E,4,0)</f>
        <v>F-265-444GGGS2A5</v>
      </c>
      <c r="L201" s="52" t="str">
        <f>IF(M201&lt;=0.9,HYPERLINK("http://www.lxhausys.co.kr/popup/rn/download/downloadPopup.jsp?from=plwindow&amp;uu=/upload/window/REPORT/LXH-EA24-188 F-265-444GGGS2A5.pdf","1등급"),IF(M201&lt;=1.2,HYPERLINK("http://www.lxhausys.co.kr/popup/rn/download/downloadPopup.jsp?from=plwindow&amp;uu=/upload/window/REPORT/LXH-EA24-188 F-265-444GGGS2A5.pdf","2등급"),IF(M201&lt;=1.8,HYPERLINK("http://www.lxhausys.co.kr/popup/rn/download/downloadPopup.jsp?from=plwindow&amp;uu=/upload/window/REPORT/LXH-EA24-188 F-265-444GGGS2A5.pdf","3등급"),IF(M201&lt;=2.3,HYPERLINK("http://www.lxhausys.co.kr/popup/rn/download/downloadPopup.jsp?from=plwindow&amp;uu=/upload/window/REPORT/LXH-EA24-188 F-265-444GGGS2A5.pdf","4등급"),IF(M201&lt;=2.8,HYPERLINK("http://www.lxhausys.co.kr/popup/rn/download/downloadPopup.jsp?from=plwindow&amp;uu=/upload/window/REPORT/LXH-EA24-188 F-265-444GGGS2A5.pdf","5등급"),HYPERLINK("http://www.lxhausys.co.kr/popup/rn/download/downloadPopup.jsp?from=plwindow&amp;uu=/upload/window/REPORT/LXH-TW22-015 S-124-222FFGL1R204.pdf","등급외"))))))</f>
        <v>2등급</v>
      </c>
      <c r="M201" s="45">
        <v>0.91100000000000003</v>
      </c>
      <c r="N201" s="45">
        <v>0.8</v>
      </c>
      <c r="O201" s="42"/>
      <c r="P201" s="42" t="s">
        <v>22</v>
      </c>
      <c r="Q201" s="42" t="s">
        <v>19</v>
      </c>
      <c r="R201" s="42" t="s">
        <v>19</v>
      </c>
      <c r="S201" s="42" t="s">
        <v>19</v>
      </c>
      <c r="T201" s="42" t="s">
        <v>19</v>
      </c>
      <c r="U201" s="42" t="s">
        <v>19</v>
      </c>
      <c r="V201" s="42" t="s">
        <v>19</v>
      </c>
      <c r="W201" s="42" t="s">
        <v>19</v>
      </c>
      <c r="X201" s="42" t="s">
        <v>75</v>
      </c>
    </row>
    <row r="202" spans="1:24">
      <c r="A202" s="42" t="s">
        <v>696</v>
      </c>
      <c r="B202" s="43" t="s">
        <v>980</v>
      </c>
      <c r="C202" s="42" t="s">
        <v>1276</v>
      </c>
      <c r="D202" s="42" t="s">
        <v>20</v>
      </c>
      <c r="E202" s="43" t="s">
        <v>716</v>
      </c>
      <c r="F202" s="44"/>
      <c r="G202" s="43"/>
      <c r="H202" s="43"/>
      <c r="I202" s="43"/>
      <c r="J202" s="42" t="s">
        <v>1410</v>
      </c>
      <c r="K202" s="43" t="str">
        <f>VLOOKUP(C202,'[1]뷰프레임 전체_상세'!$B:$E,4,0)</f>
        <v>F-145S-224FFKG1R5</v>
      </c>
      <c r="L202" s="52" t="str">
        <f>IF(M202&lt;=0.9,HYPERLINK("http://www.lxhausys.co.kr/popup/rn/download/downloadPopup.jsp?from=plwindow&amp;uu=/upload/window/REPORT/LXH-EA24-164 F-145S-224FFKG1R5.pdf","1등급"),IF(M202&lt;=1.2,HYPERLINK("http://www.lxhausys.co.kr/popup/rn/download/downloadPopup.jsp?from=plwindow&amp;uu=/upload/window/REPORT/LXH-EA24-164 F-145S-224FFKG1R5.pdf","2등급"),IF(M202&lt;=1.8,HYPERLINK("http://www.lxhausys.co.kr/popup/rn/download/downloadPopup.jsp?from=plwindow&amp;uu=/upload/window/REPORT/LXH-EA24-164 F-145S-224FFKG1R5.pdf","3등급"),IF(M202&lt;=2.3,HYPERLINK("http://www.lxhausys.co.kr/popup/rn/download/downloadPopup.jsp?from=plwindow&amp;uu=/upload/window/REPORT/LXH-EA24-164 F-145S-224FFKG1R5.pdf","4등급"),IF(M202&lt;=2.8,HYPERLINK("http://www.lxhausys.co.kr/popup/rn/download/downloadPopup.jsp?from=plwindow&amp;uu=/upload/window/REPORT/LXH-EA24-164 F-145S-224FFKG1R5.pdf","5등급"),HYPERLINK("http://www.lxhausys.co.kr/popup/rn/download/downloadPopup.jsp?from=plwindow&amp;uu=/upload/window/REPORT/LXH-TW22-015 S-124-222FFGL1R205.pdf","등급외"))))))</f>
        <v>3등급</v>
      </c>
      <c r="M202" s="45">
        <v>1.698</v>
      </c>
      <c r="N202" s="45">
        <v>1.48</v>
      </c>
      <c r="O202" s="42"/>
      <c r="P202" s="42" t="s">
        <v>103</v>
      </c>
      <c r="Q202" s="42" t="s">
        <v>19</v>
      </c>
      <c r="R202" s="42" t="s">
        <v>19</v>
      </c>
      <c r="S202" s="42" t="s">
        <v>19</v>
      </c>
      <c r="T202" s="42" t="s">
        <v>19</v>
      </c>
      <c r="U202" s="42" t="s">
        <v>19</v>
      </c>
      <c r="V202" s="42" t="s">
        <v>19</v>
      </c>
      <c r="W202" s="42" t="s">
        <v>19</v>
      </c>
      <c r="X202" s="42" t="s">
        <v>75</v>
      </c>
    </row>
    <row r="203" spans="1:24">
      <c r="A203" s="42" t="s">
        <v>696</v>
      </c>
      <c r="B203" s="43" t="s">
        <v>981</v>
      </c>
      <c r="C203" s="42" t="s">
        <v>1277</v>
      </c>
      <c r="D203" s="42" t="s">
        <v>20</v>
      </c>
      <c r="E203" s="43" t="s">
        <v>713</v>
      </c>
      <c r="F203" s="44"/>
      <c r="G203" s="43"/>
      <c r="H203" s="43"/>
      <c r="I203" s="43"/>
      <c r="J203" s="42" t="s">
        <v>1410</v>
      </c>
      <c r="K203" s="43" t="str">
        <f>VLOOKUP(C203,'[1]뷰프레임 전체_상세'!$B:$E,4,0)</f>
        <v>F-145S-226FFGG1A5</v>
      </c>
      <c r="L203" s="52" t="str">
        <f>IF(M203&lt;=0.9,HYPERLINK("http://www.lxhausys.co.kr/popup/rn/download/downloadPopup.jsp?from=plwindow&amp;uu=/upload/window/REPORT/LXH-EA24-163 F-145S-226FFGG1A5.pdf","1등급"),IF(M203&lt;=1.2,HYPERLINK("http://www.lxhausys.co.kr/popup/rn/download/downloadPopup.jsp?from=plwindow&amp;uu=/upload/window/REPORT/LXH-EA24-163 F-145S-226FFGG1A5.pdf","2등급"),IF(M203&lt;=1.8,HYPERLINK("http://www.lxhausys.co.kr/popup/rn/download/downloadPopup.jsp?from=plwindow&amp;uu=/upload/window/REPORT/LXH-EA24-163 F-145S-226FFGG1A5.pdf","3등급"),IF(M203&lt;=2.3,HYPERLINK("http://www.lxhausys.co.kr/popup/rn/download/downloadPopup.jsp?from=plwindow&amp;uu=/upload/window/REPORT/LXH-EA24-163 F-145S-226FFGG1A5.pdf","4등급"),IF(M203&lt;=2.8,HYPERLINK("http://www.lxhausys.co.kr/popup/rn/download/downloadPopup.jsp?from=plwindow&amp;uu=/upload/window/REPORT/LXH-EA24-163 F-145S-226FFGG1A5.pdf","5등급"),HYPERLINK("http://www.lxhausys.co.kr/popup/rn/download/downloadPopup.jsp?from=plwindow&amp;uu=/upload/window/REPORT/LXH-TW22-015 S-124-222FFGL1R206.pdf","등급외"))))))</f>
        <v>5등급</v>
      </c>
      <c r="M203" s="45">
        <v>2.758</v>
      </c>
      <c r="N203" s="45">
        <v>1.4</v>
      </c>
      <c r="O203" s="42"/>
      <c r="P203" s="42" t="s">
        <v>103</v>
      </c>
      <c r="Q203" s="42" t="s">
        <v>19</v>
      </c>
      <c r="R203" s="42" t="s">
        <v>19</v>
      </c>
      <c r="S203" s="42" t="s">
        <v>19</v>
      </c>
      <c r="T203" s="42" t="s">
        <v>19</v>
      </c>
      <c r="U203" s="42" t="s">
        <v>19</v>
      </c>
      <c r="V203" s="42" t="s">
        <v>19</v>
      </c>
      <c r="W203" s="42" t="s">
        <v>19</v>
      </c>
      <c r="X203" s="42" t="s">
        <v>75</v>
      </c>
    </row>
    <row r="204" spans="1:24">
      <c r="A204" s="42" t="s">
        <v>696</v>
      </c>
      <c r="B204" s="43" t="s">
        <v>982</v>
      </c>
      <c r="C204" s="42" t="s">
        <v>1278</v>
      </c>
      <c r="D204" s="42" t="s">
        <v>20</v>
      </c>
      <c r="E204" s="43" t="s">
        <v>1072</v>
      </c>
      <c r="F204" s="44"/>
      <c r="G204" s="43"/>
      <c r="H204" s="43"/>
      <c r="I204" s="43"/>
      <c r="J204" s="42" t="s">
        <v>1410</v>
      </c>
      <c r="K204" s="43" t="str">
        <f>VLOOKUP(C204,'[1]뷰프레임 전체_상세'!$B:$E,4,0)</f>
        <v>F-145S-228FFGS1A5</v>
      </c>
      <c r="L204" s="52" t="str">
        <f>IF(M204&lt;=0.9,HYPERLINK("http://www.lxhausys.co.kr/popup/rn/download/downloadPopup.jsp?from=plwindow&amp;uu=/upload/window/REPORT/LXH-EA24-162 F-145S-228FFGS1A5.pdf","1등급"),IF(M204&lt;=1.2,HYPERLINK("http://www.lxhausys.co.kr/popup/rn/download/downloadPopup.jsp?from=plwindow&amp;uu=/upload/window/REPORT/LXH-EA24-162 F-145S-228FFGS1A5.pdf","2등급"),IF(M204&lt;=1.8,HYPERLINK("http://www.lxhausys.co.kr/popup/rn/download/downloadPopup.jsp?from=plwindow&amp;uu=/upload/window/REPORT/LXH-EA24-162 F-145S-228FFGS1A5.pdf","3등급"),IF(M204&lt;=2.3,HYPERLINK("http://www.lxhausys.co.kr/popup/rn/download/downloadPopup.jsp?from=plwindow&amp;uu=/upload/window/REPORT/LXH-EA24-162 F-145S-228FFGS1A5.pdf","4등급"),IF(M204&lt;=2.8,HYPERLINK("http://www.lxhausys.co.kr/popup/rn/download/downloadPopup.jsp?from=plwindow&amp;uu=/upload/window/REPORT/LXH-EA24-162 F-145S-228FFGS1A5.pdf","5등급"),HYPERLINK("http://www.lxhausys.co.kr/popup/rn/download/downloadPopup.jsp?from=plwindow&amp;uu=/upload/window/REPORT/LXH-TW22-015 S-124-222FFGL1R207.pdf","등급외"))))))</f>
        <v>4등급</v>
      </c>
      <c r="M204" s="45">
        <v>1.9690000000000001</v>
      </c>
      <c r="N204" s="45">
        <v>1.55</v>
      </c>
      <c r="O204" s="42"/>
      <c r="P204" s="42" t="s">
        <v>103</v>
      </c>
      <c r="Q204" s="42" t="s">
        <v>19</v>
      </c>
      <c r="R204" s="42" t="s">
        <v>19</v>
      </c>
      <c r="S204" s="42" t="s">
        <v>19</v>
      </c>
      <c r="T204" s="42" t="s">
        <v>19</v>
      </c>
      <c r="U204" s="42" t="s">
        <v>19</v>
      </c>
      <c r="V204" s="42" t="s">
        <v>19</v>
      </c>
      <c r="W204" s="42" t="s">
        <v>19</v>
      </c>
      <c r="X204" s="42" t="s">
        <v>75</v>
      </c>
    </row>
    <row r="205" spans="1:24">
      <c r="A205" s="42" t="s">
        <v>673</v>
      </c>
      <c r="B205" s="43" t="s">
        <v>983</v>
      </c>
      <c r="C205" s="42" t="s">
        <v>1279</v>
      </c>
      <c r="D205" s="42" t="s">
        <v>20</v>
      </c>
      <c r="E205" s="43" t="s">
        <v>1074</v>
      </c>
      <c r="F205" s="44"/>
      <c r="G205" s="43"/>
      <c r="H205" s="43"/>
      <c r="I205" s="43"/>
      <c r="J205" s="42" t="s">
        <v>1410</v>
      </c>
      <c r="K205" s="43" t="str">
        <f>VLOOKUP(C205,'[1]뷰프레임 전체_상세'!$B:$E,4,0)</f>
        <v>F-145-224FFGS1A5</v>
      </c>
      <c r="L205" s="52" t="str">
        <f>IF(M205&lt;=0.9,HYPERLINK("http://www.lxhausys.co.kr/popup/rn/download/downloadPopup.jsp?from=plwindow&amp;uu=/upload/window/REPORT/LXH-EA24-159 F-145-224FFGS1A5.pdf","1등급"),IF(M205&lt;=1.2,HYPERLINK("http://www.lxhausys.co.kr/popup/rn/download/downloadPopup.jsp?from=plwindow&amp;uu=/upload/window/REPORT/LXH-EA24-159 F-145-224FFGS1A5.pdf","2등급"),IF(M205&lt;=1.8,HYPERLINK("http://www.lxhausys.co.kr/popup/rn/download/downloadPopup.jsp?from=plwindow&amp;uu=/upload/window/REPORT/LXH-EA24-159 F-145-224FFGS1A5.pdf","3등급"),IF(M205&lt;=2.3,HYPERLINK("http://www.lxhausys.co.kr/popup/rn/download/downloadPopup.jsp?from=plwindow&amp;uu=/upload/window/REPORT/LXH-EA24-159 F-145-224FFGS1A5.pdf","4등급"),IF(M205&lt;=2.8,HYPERLINK("http://www.lxhausys.co.kr/popup/rn/download/downloadPopup.jsp?from=plwindow&amp;uu=/upload/window/REPORT/LXH-EA24-159 F-145-224FFGS1A5.pdf","5등급"),HYPERLINK("http://www.lxhausys.co.kr/popup/rn/download/downloadPopup.jsp?from=plwindow&amp;uu=/upload/window/REPORT/LXH-TW22-015 S-124-222FFGL1R208.pdf","등급외"))))))</f>
        <v>4등급</v>
      </c>
      <c r="M205" s="45">
        <v>1.9590000000000001</v>
      </c>
      <c r="N205" s="45">
        <v>1.5</v>
      </c>
      <c r="O205" s="42"/>
      <c r="P205" s="42" t="s">
        <v>103</v>
      </c>
      <c r="Q205" s="42" t="s">
        <v>19</v>
      </c>
      <c r="R205" s="42" t="s">
        <v>19</v>
      </c>
      <c r="S205" s="42" t="s">
        <v>19</v>
      </c>
      <c r="T205" s="42" t="s">
        <v>19</v>
      </c>
      <c r="U205" s="42" t="s">
        <v>19</v>
      </c>
      <c r="V205" s="42" t="s">
        <v>19</v>
      </c>
      <c r="W205" s="42" t="s">
        <v>19</v>
      </c>
      <c r="X205" s="42" t="s">
        <v>75</v>
      </c>
    </row>
    <row r="206" spans="1:24">
      <c r="A206" s="42" t="s">
        <v>673</v>
      </c>
      <c r="B206" s="43" t="s">
        <v>984</v>
      </c>
      <c r="C206" s="42" t="s">
        <v>1280</v>
      </c>
      <c r="D206" s="42" t="s">
        <v>20</v>
      </c>
      <c r="E206" s="43" t="s">
        <v>722</v>
      </c>
      <c r="F206" s="44"/>
      <c r="G206" s="43"/>
      <c r="H206" s="43"/>
      <c r="I206" s="43"/>
      <c r="J206" s="42" t="s">
        <v>1410</v>
      </c>
      <c r="K206" s="43" t="str">
        <f>VLOOKUP(C206,'[1]뷰프레임 전체_상세'!$B:$E,4,0)</f>
        <v>F-145-224FFKG1A5</v>
      </c>
      <c r="L206" s="52" t="str">
        <f>IF(M206&lt;=0.9,HYPERLINK("http://www.lxhausys.co.kr/popup/rn/download/downloadPopup.jsp?from=plwindow&amp;uu=/upload/window/REPORT/LXH-EA24-158 F-145-224FFKG1A5.pdf","1등급"),IF(M206&lt;=1.2,HYPERLINK("http://www.lxhausys.co.kr/popup/rn/download/downloadPopup.jsp?from=plwindow&amp;uu=/upload/window/REPORT/LXH-EA24-158 F-145-224FFKG1A5.pdf","2등급"),IF(M206&lt;=1.8,HYPERLINK("http://www.lxhausys.co.kr/popup/rn/download/downloadPopup.jsp?from=plwindow&amp;uu=/upload/window/REPORT/LXH-EA24-158 F-145-224FFKG1A5.pdf","3등급"),IF(M206&lt;=2.3,HYPERLINK("http://www.lxhausys.co.kr/popup/rn/download/downloadPopup.jsp?from=plwindow&amp;uu=/upload/window/REPORT/LXH-EA24-158 F-145-224FFKG1A5.pdf","4등급"),IF(M206&lt;=2.8,HYPERLINK("http://www.lxhausys.co.kr/popup/rn/download/downloadPopup.jsp?from=plwindow&amp;uu=/upload/window/REPORT/LXH-EA24-158 F-145-224FFKG1A5.pdf","5등급"),HYPERLINK("http://www.lxhausys.co.kr/popup/rn/download/downloadPopup.jsp?from=plwindow&amp;uu=/upload/window/REPORT/LXH-TW22-015 S-124-222FFGL1R209.pdf","등급외"))))))</f>
        <v>4등급</v>
      </c>
      <c r="M206" s="45">
        <v>1.871</v>
      </c>
      <c r="N206" s="45">
        <v>1.58</v>
      </c>
      <c r="O206" s="42"/>
      <c r="P206" s="42" t="s">
        <v>103</v>
      </c>
      <c r="Q206" s="42" t="s">
        <v>19</v>
      </c>
      <c r="R206" s="42" t="s">
        <v>19</v>
      </c>
      <c r="S206" s="42" t="s">
        <v>19</v>
      </c>
      <c r="T206" s="42" t="s">
        <v>19</v>
      </c>
      <c r="U206" s="42" t="s">
        <v>19</v>
      </c>
      <c r="V206" s="42" t="s">
        <v>19</v>
      </c>
      <c r="W206" s="42" t="s">
        <v>19</v>
      </c>
      <c r="X206" s="42" t="s">
        <v>75</v>
      </c>
    </row>
    <row r="207" spans="1:24">
      <c r="A207" s="42" t="s">
        <v>673</v>
      </c>
      <c r="B207" s="43" t="s">
        <v>985</v>
      </c>
      <c r="C207" s="42" t="s">
        <v>1281</v>
      </c>
      <c r="D207" s="42" t="s">
        <v>20</v>
      </c>
      <c r="E207" s="43" t="s">
        <v>726</v>
      </c>
      <c r="F207" s="44"/>
      <c r="G207" s="43"/>
      <c r="H207" s="43"/>
      <c r="I207" s="43"/>
      <c r="J207" s="42" t="s">
        <v>1410</v>
      </c>
      <c r="K207" s="43" t="str">
        <f>VLOOKUP(C207,'[1]뷰프레임 전체_상세'!$B:$E,4,0)</f>
        <v>F-145-228FFKG1A5</v>
      </c>
      <c r="L207" s="52" t="str">
        <f>IF(M207&lt;=0.9,HYPERLINK("http://www.lxhausys.co.kr/popup/rn/download/downloadPopup.jsp?from=plwindow&amp;uu=/upload/window/REPORT/LXH-EA24-157 F-145-228FFKG1A5.pdf","1등급"),IF(M207&lt;=1.2,HYPERLINK("http://www.lxhausys.co.kr/popup/rn/download/downloadPopup.jsp?from=plwindow&amp;uu=/upload/window/REPORT/LXH-EA24-157 F-145-228FFKG1A5.pdf","2등급"),IF(M207&lt;=1.8,HYPERLINK("http://www.lxhausys.co.kr/popup/rn/download/downloadPopup.jsp?from=plwindow&amp;uu=/upload/window/REPORT/LXH-EA24-157 F-145-228FFKG1A5.pdf","3등급"),IF(M207&lt;=2.3,HYPERLINK("http://www.lxhausys.co.kr/popup/rn/download/downloadPopup.jsp?from=plwindow&amp;uu=/upload/window/REPORT/LXH-EA24-157 F-145-228FFKG1A5.pdf","4등급"),IF(M207&lt;=2.8,HYPERLINK("http://www.lxhausys.co.kr/popup/rn/download/downloadPopup.jsp?from=plwindow&amp;uu=/upload/window/REPORT/LXH-EA24-157 F-145-228FFKG1A5.pdf","5등급"),HYPERLINK("http://www.lxhausys.co.kr/popup/rn/download/downloadPopup.jsp?from=plwindow&amp;uu=/upload/window/REPORT/LXH-TW22-015 S-124-222FFGL1R210.pdf","등급외"))))))</f>
        <v>3등급</v>
      </c>
      <c r="M207" s="45">
        <v>1.7709999999999999</v>
      </c>
      <c r="N207" s="45">
        <v>1.57</v>
      </c>
      <c r="O207" s="42"/>
      <c r="P207" s="42" t="s">
        <v>103</v>
      </c>
      <c r="Q207" s="42" t="s">
        <v>19</v>
      </c>
      <c r="R207" s="42" t="s">
        <v>19</v>
      </c>
      <c r="S207" s="42" t="s">
        <v>19</v>
      </c>
      <c r="T207" s="42" t="s">
        <v>19</v>
      </c>
      <c r="U207" s="42" t="s">
        <v>19</v>
      </c>
      <c r="V207" s="42" t="s">
        <v>19</v>
      </c>
      <c r="W207" s="42" t="s">
        <v>19</v>
      </c>
      <c r="X207" s="42" t="s">
        <v>75</v>
      </c>
    </row>
    <row r="208" spans="1:24">
      <c r="A208" s="42" t="s">
        <v>673</v>
      </c>
      <c r="B208" s="43" t="s">
        <v>986</v>
      </c>
      <c r="C208" s="42" t="s">
        <v>1282</v>
      </c>
      <c r="D208" s="42" t="s">
        <v>20</v>
      </c>
      <c r="E208" s="43" t="s">
        <v>713</v>
      </c>
      <c r="F208" s="44"/>
      <c r="G208" s="43"/>
      <c r="H208" s="43"/>
      <c r="I208" s="43"/>
      <c r="J208" s="42" t="s">
        <v>1410</v>
      </c>
      <c r="K208" s="43" t="str">
        <f>VLOOKUP(C208,'[1]뷰프레임 전체_상세'!$B:$E,4,0)</f>
        <v>F-145-226FFGG1A5</v>
      </c>
      <c r="L208" s="52" t="str">
        <f>IF(M208&lt;=0.9,HYPERLINK("http://www.lxhausys.co.kr/popup/rn/download/downloadPopup.jsp?from=plwindow&amp;uu=/upload/window/REPORT/LXH-EA24-156 F-145-226FFGG1A5.pdf","1등급"),IF(M208&lt;=1.2,HYPERLINK("http://www.lxhausys.co.kr/popup/rn/download/downloadPopup.jsp?from=plwindow&amp;uu=/upload/window/REPORT/LXH-EA24-156 F-145-226FFGG1A5.pdf","2등급"),IF(M208&lt;=1.8,HYPERLINK("http://www.lxhausys.co.kr/popup/rn/download/downloadPopup.jsp?from=plwindow&amp;uu=/upload/window/REPORT/LXH-EA24-156 F-145-226FFGG1A5.pdf","3등급"),IF(M208&lt;=2.3,HYPERLINK("http://www.lxhausys.co.kr/popup/rn/download/downloadPopup.jsp?from=plwindow&amp;uu=/upload/window/REPORT/LXH-EA24-156 F-145-226FFGG1A5.pdf","4등급"),IF(M208&lt;=2.8,HYPERLINK("http://www.lxhausys.co.kr/popup/rn/download/downloadPopup.jsp?from=plwindow&amp;uu=/upload/window/REPORT/LXH-EA24-156 F-145-226FFGG1A5.pdf","5등급"),HYPERLINK("http://www.lxhausys.co.kr/popup/rn/download/downloadPopup.jsp?from=plwindow&amp;uu=/upload/window/REPORT/LXH-TW22-015 S-124-222FFGL1R211.pdf","등급외"))))))</f>
        <v>5등급</v>
      </c>
      <c r="M208" s="45">
        <v>2.7210000000000001</v>
      </c>
      <c r="N208" s="45">
        <v>1.71</v>
      </c>
      <c r="O208" s="42"/>
      <c r="P208" s="42" t="s">
        <v>103</v>
      </c>
      <c r="Q208" s="42" t="s">
        <v>19</v>
      </c>
      <c r="R208" s="42" t="s">
        <v>19</v>
      </c>
      <c r="S208" s="42" t="s">
        <v>19</v>
      </c>
      <c r="T208" s="42" t="s">
        <v>19</v>
      </c>
      <c r="U208" s="42" t="s">
        <v>19</v>
      </c>
      <c r="V208" s="42" t="s">
        <v>19</v>
      </c>
      <c r="W208" s="42" t="s">
        <v>19</v>
      </c>
      <c r="X208" s="42" t="s">
        <v>75</v>
      </c>
    </row>
    <row r="209" spans="1:24">
      <c r="A209" s="42" t="s">
        <v>697</v>
      </c>
      <c r="B209" s="43" t="s">
        <v>987</v>
      </c>
      <c r="C209" s="42" t="s">
        <v>1283</v>
      </c>
      <c r="D209" s="42" t="s">
        <v>20</v>
      </c>
      <c r="E209" s="43" t="s">
        <v>731</v>
      </c>
      <c r="F209" s="44" t="s">
        <v>746</v>
      </c>
      <c r="G209" s="43"/>
      <c r="H209" s="43"/>
      <c r="I209" s="43"/>
      <c r="J209" s="42" t="s">
        <v>1410</v>
      </c>
      <c r="K209" s="43" t="str">
        <f>VLOOKUP(C209,'[1]뷰프레임 전체_상세'!$B:$E,4,0)</f>
        <v>F-265S-466GGGS2A5</v>
      </c>
      <c r="L209" s="52" t="str">
        <f>IF(M209&lt;=0.9,HYPERLINK("http://www.lxhausys.co.kr/popup/rn/download/downloadPopup.jsp?from=plwindow&amp;uu=/upload/window/REPORT/LXH-EA24-136 F-265S-466GGGS2A5.pdf","1등급"),IF(M209&lt;=1.2,HYPERLINK("http://www.lxhausys.co.kr/popup/rn/download/downloadPopup.jsp?from=plwindow&amp;uu=/upload/window/REPORT/LXH-EA24-136 F-265S-466GGGS2A5.pdf","2등급"),IF(M209&lt;=1.8,HYPERLINK("http://www.lxhausys.co.kr/popup/rn/download/downloadPopup.jsp?from=plwindow&amp;uu=/upload/window/REPORT/LXH-EA24-136 F-265S-466GGGS2A5.pdf","3등급"),IF(M209&lt;=2.3,HYPERLINK("http://www.lxhausys.co.kr/popup/rn/download/downloadPopup.jsp?from=plwindow&amp;uu=/upload/window/REPORT/LXH-EA24-136 F-265S-466GGGS2A5.pdf","4등급"),IF(M209&lt;=2.8,HYPERLINK("http://www.lxhausys.co.kr/popup/rn/download/downloadPopup.jsp?from=plwindow&amp;uu=/upload/window/REPORT/LXH-EA24-136 F-265S-466GGGS2A5.pdf","5등급"),HYPERLINK("http://www.lxhausys.co.kr/popup/rn/download/downloadPopup.jsp?from=plwindow&amp;uu=/upload/window/REPORT/LXH-TW22-015 S-124-222FFGL1R212.pdf","등급외"))))))</f>
        <v>2등급</v>
      </c>
      <c r="M209" s="45">
        <v>0.90500000000000003</v>
      </c>
      <c r="N209" s="45">
        <v>0.85</v>
      </c>
      <c r="O209" s="42"/>
      <c r="P209" s="42" t="s">
        <v>22</v>
      </c>
      <c r="Q209" s="42" t="s">
        <v>19</v>
      </c>
      <c r="R209" s="42" t="s">
        <v>19</v>
      </c>
      <c r="S209" s="42" t="s">
        <v>19</v>
      </c>
      <c r="T209" s="42" t="s">
        <v>19</v>
      </c>
      <c r="U209" s="42" t="s">
        <v>19</v>
      </c>
      <c r="V209" s="42" t="s">
        <v>19</v>
      </c>
      <c r="W209" s="42" t="s">
        <v>19</v>
      </c>
      <c r="X209" s="42" t="s">
        <v>75</v>
      </c>
    </row>
    <row r="210" spans="1:24">
      <c r="A210" s="42" t="s">
        <v>705</v>
      </c>
      <c r="B210" s="43" t="s">
        <v>988</v>
      </c>
      <c r="C210" s="42" t="s">
        <v>1284</v>
      </c>
      <c r="D210" s="42" t="s">
        <v>20</v>
      </c>
      <c r="E210" s="43"/>
      <c r="F210" s="44"/>
      <c r="G210" s="43" t="s">
        <v>765</v>
      </c>
      <c r="H210" s="43" t="s">
        <v>773</v>
      </c>
      <c r="I210" s="43" t="s">
        <v>1076</v>
      </c>
      <c r="J210" s="42" t="s">
        <v>1410</v>
      </c>
      <c r="K210" s="43" t="str">
        <f>VLOOKUP(C210,'[1]뷰프레임 전체_상세'!$B:$E,4,0)</f>
        <v>F-145GH-7526MSGS1A5</v>
      </c>
      <c r="L210" s="52" t="str">
        <f>IF(M210&lt;=0.9,HYPERLINK("http://www.lxhausys.co.kr/popup/rn/download/downloadPopup.jsp?from=plwindow&amp;uu=/upload/window/REPORT/LXH-EA24-221 F-145GH-7526MSGS1A5.pdf","1등급"),IF(M210&lt;=1.2,HYPERLINK("http://www.lxhausys.co.kr/popup/rn/download/downloadPopup.jsp?from=plwindow&amp;uu=/upload/window/REPORT/LXH-EA24-221 F-145GH-7526MSGS1A5.pdf","2등급"),IF(M210&lt;=1.8,HYPERLINK("http://www.lxhausys.co.kr/popup/rn/download/downloadPopup.jsp?from=plwindow&amp;uu=/upload/window/REPORT/LXH-EA24-221 F-145GH-7526MSGS1A5.pdf","3등급"),IF(M210&lt;=2.3,HYPERLINK("http://www.lxhausys.co.kr/popup/rn/download/downloadPopup.jsp?from=plwindow&amp;uu=/upload/window/REPORT/LXH-EA24-221 F-145GH-7526MSGS1A5.pdf","4등급"),IF(M210&lt;=2.8,HYPERLINK("http://www.lxhausys.co.kr/popup/rn/download/downloadPopup.jsp?from=plwindow&amp;uu=/upload/window/REPORT/LXH-EA24-221 F-145GH-7526MSGS1A5.pdf","5등급"),HYPERLINK("http://www.lxhausys.co.kr/popup/rn/download/downloadPopup.jsp?from=plwindow&amp;uu=/upload/window/REPORT/LXH-TW22-015 S-124-222FFGL1R213.pdf","등급외"))))))</f>
        <v>4등급</v>
      </c>
      <c r="M210" s="45">
        <v>1.8919999999999999</v>
      </c>
      <c r="N210" s="45">
        <v>1.57</v>
      </c>
      <c r="O210" s="42"/>
      <c r="P210" s="42" t="s">
        <v>103</v>
      </c>
      <c r="Q210" s="42" t="s">
        <v>19</v>
      </c>
      <c r="R210" s="42" t="s">
        <v>19</v>
      </c>
      <c r="S210" s="42" t="s">
        <v>19</v>
      </c>
      <c r="T210" s="42" t="s">
        <v>19</v>
      </c>
      <c r="U210" s="42" t="s">
        <v>19</v>
      </c>
      <c r="V210" s="42" t="s">
        <v>19</v>
      </c>
      <c r="W210" s="42" t="s">
        <v>19</v>
      </c>
      <c r="X210" s="42" t="s">
        <v>75</v>
      </c>
    </row>
    <row r="211" spans="1:24">
      <c r="A211" s="42" t="s">
        <v>705</v>
      </c>
      <c r="B211" s="43" t="s">
        <v>989</v>
      </c>
      <c r="C211" s="42" t="s">
        <v>1285</v>
      </c>
      <c r="D211" s="42" t="s">
        <v>20</v>
      </c>
      <c r="E211" s="43"/>
      <c r="F211" s="44"/>
      <c r="G211" s="43" t="s">
        <v>767</v>
      </c>
      <c r="H211" s="43" t="s">
        <v>775</v>
      </c>
      <c r="I211" s="43" t="s">
        <v>1076</v>
      </c>
      <c r="J211" s="42" t="s">
        <v>1410</v>
      </c>
      <c r="K211" s="43" t="str">
        <f>VLOOKUP(C211,'[1]뷰프레임 전체_상세'!$B:$E,4,0)</f>
        <v>F-145GH-7526MLGL1R5</v>
      </c>
      <c r="L211" s="52" t="str">
        <f>IF(M211&lt;=0.9,HYPERLINK("http://www.lxhausys.co.kr/popup/rn/download/downloadPopup.jsp?from=plwindow&amp;uu=/upload/window/REPORT/LXH-EA24-220 F-145GH-7526MLGL1R5.pdf","1등급"),IF(M211&lt;=1.2,HYPERLINK("http://www.lxhausys.co.kr/popup/rn/download/downloadPopup.jsp?from=plwindow&amp;uu=/upload/window/REPORT/LXH-EA24-220 F-145GH-7526MLGL1R5.pdf","2등급"),IF(M211&lt;=1.8,HYPERLINK("http://www.lxhausys.co.kr/popup/rn/download/downloadPopup.jsp?from=plwindow&amp;uu=/upload/window/REPORT/LXH-EA24-220 F-145GH-7526MLGL1R5.pdf","3등급"),IF(M211&lt;=2.3,HYPERLINK("http://www.lxhausys.co.kr/popup/rn/download/downloadPopup.jsp?from=plwindow&amp;uu=/upload/window/REPORT/LXH-EA24-220 F-145GH-7526MLGL1R5.pdf","4등급"),IF(M211&lt;=2.8,HYPERLINK("http://www.lxhausys.co.kr/popup/rn/download/downloadPopup.jsp?from=plwindow&amp;uu=/upload/window/REPORT/LXH-EA24-220 F-145GH-7526MLGL1R5.pdf","5등급"),HYPERLINK("http://www.lxhausys.co.kr/popup/rn/download/downloadPopup.jsp?from=plwindow&amp;uu=/upload/window/REPORT/LXH-TW22-015 S-124-222FFGL1R214.pdf","등급외"))))))</f>
        <v>3등급</v>
      </c>
      <c r="M211" s="45">
        <v>1.5660000000000001</v>
      </c>
      <c r="N211" s="45">
        <v>1.58</v>
      </c>
      <c r="O211" s="42"/>
      <c r="P211" s="42" t="s">
        <v>103</v>
      </c>
      <c r="Q211" s="42" t="s">
        <v>19</v>
      </c>
      <c r="R211" s="42" t="s">
        <v>19</v>
      </c>
      <c r="S211" s="42" t="s">
        <v>19</v>
      </c>
      <c r="T211" s="42" t="s">
        <v>19</v>
      </c>
      <c r="U211" s="42" t="s">
        <v>19</v>
      </c>
      <c r="V211" s="42" t="s">
        <v>19</v>
      </c>
      <c r="W211" s="42" t="s">
        <v>19</v>
      </c>
      <c r="X211" s="42" t="s">
        <v>75</v>
      </c>
    </row>
    <row r="212" spans="1:24">
      <c r="A212" s="42" t="s">
        <v>705</v>
      </c>
      <c r="B212" s="43" t="s">
        <v>990</v>
      </c>
      <c r="C212" s="42" t="s">
        <v>1286</v>
      </c>
      <c r="D212" s="42" t="s">
        <v>20</v>
      </c>
      <c r="E212" s="43"/>
      <c r="F212" s="44"/>
      <c r="G212" s="43" t="s">
        <v>766</v>
      </c>
      <c r="H212" s="43" t="s">
        <v>774</v>
      </c>
      <c r="I212" s="43" t="s">
        <v>1076</v>
      </c>
      <c r="J212" s="42" t="s">
        <v>1410</v>
      </c>
      <c r="K212" s="43" t="str">
        <f>VLOOKUP(C212,'[1]뷰프레임 전체_상세'!$B:$E,4,0)</f>
        <v>F-145GH-7526MSGS1R5</v>
      </c>
      <c r="L212" s="52" t="str">
        <f>IF(M212&lt;=0.9,HYPERLINK("http://www.lxhausys.co.kr/popup/rn/download/downloadPopup.jsp?from=plwindow&amp;uu=/upload/window/REPORT/LXH-EA24-219 F-145GH-7526MSGS1R5.pdf","1등급"),IF(M212&lt;=1.2,HYPERLINK("http://www.lxhausys.co.kr/popup/rn/download/downloadPopup.jsp?from=plwindow&amp;uu=/upload/window/REPORT/LXH-EA24-219 F-145GH-7526MSGS1R5.pdf","2등급"),IF(M212&lt;=1.8,HYPERLINK("http://www.lxhausys.co.kr/popup/rn/download/downloadPopup.jsp?from=plwindow&amp;uu=/upload/window/REPORT/LXH-EA24-219 F-145GH-7526MSGS1R5.pdf","3등급"),IF(M212&lt;=2.3,HYPERLINK("http://www.lxhausys.co.kr/popup/rn/download/downloadPopup.jsp?from=plwindow&amp;uu=/upload/window/REPORT/LXH-EA24-219 F-145GH-7526MSGS1R5.pdf","4등급"),IF(M212&lt;=2.8,HYPERLINK("http://www.lxhausys.co.kr/popup/rn/download/downloadPopup.jsp?from=plwindow&amp;uu=/upload/window/REPORT/LXH-EA24-219 F-145GH-7526MSGS1R5.pdf","5등급"),HYPERLINK("http://www.lxhausys.co.kr/popup/rn/download/downloadPopup.jsp?from=plwindow&amp;uu=/upload/window/REPORT/LXH-TW22-015 S-124-222FFGL1R215.pdf","등급외"))))))</f>
        <v>3등급</v>
      </c>
      <c r="M212" s="45">
        <v>1.647</v>
      </c>
      <c r="N212" s="45">
        <v>1.59</v>
      </c>
      <c r="O212" s="42"/>
      <c r="P212" s="42" t="s">
        <v>103</v>
      </c>
      <c r="Q212" s="42" t="s">
        <v>19</v>
      </c>
      <c r="R212" s="42" t="s">
        <v>19</v>
      </c>
      <c r="S212" s="42" t="s">
        <v>19</v>
      </c>
      <c r="T212" s="42" t="s">
        <v>19</v>
      </c>
      <c r="U212" s="42" t="s">
        <v>19</v>
      </c>
      <c r="V212" s="42" t="s">
        <v>19</v>
      </c>
      <c r="W212" s="42" t="s">
        <v>19</v>
      </c>
      <c r="X212" s="42" t="s">
        <v>75</v>
      </c>
    </row>
    <row r="213" spans="1:24">
      <c r="A213" s="42" t="s">
        <v>705</v>
      </c>
      <c r="B213" s="43" t="s">
        <v>991</v>
      </c>
      <c r="C213" s="42" t="s">
        <v>1287</v>
      </c>
      <c r="D213" s="42" t="s">
        <v>20</v>
      </c>
      <c r="E213" s="43"/>
      <c r="F213" s="44"/>
      <c r="G213" s="43" t="s">
        <v>768</v>
      </c>
      <c r="H213" s="43" t="s">
        <v>776</v>
      </c>
      <c r="I213" s="43" t="s">
        <v>1076</v>
      </c>
      <c r="J213" s="42" t="s">
        <v>1410</v>
      </c>
      <c r="K213" s="43" t="str">
        <f>VLOOKUP(C213,'[1]뷰프레임 전체_상세'!$B:$E,4,0)</f>
        <v>F-145GH-7526MLGL1A5</v>
      </c>
      <c r="L213" s="52" t="str">
        <f>IF(M213&lt;=0.9,HYPERLINK("http://www.lxhausys.co.kr/popup/rn/download/downloadPopup.jsp?from=plwindow&amp;uu=/upload/window/REPORT/LXH-EA24-218 F-145GH-7526MLGL1A5.pdf","1등급"),IF(M213&lt;=1.2,HYPERLINK("http://www.lxhausys.co.kr/popup/rn/download/downloadPopup.jsp?from=plwindow&amp;uu=/upload/window/REPORT/LXH-EA24-218 F-145GH-7526MLGL1A5.pdf","2등급"),IF(M213&lt;=1.8,HYPERLINK("http://www.lxhausys.co.kr/popup/rn/download/downloadPopup.jsp?from=plwindow&amp;uu=/upload/window/REPORT/LXH-EA24-218 F-145GH-7526MLGL1A5.pdf","3등급"),IF(M213&lt;=2.3,HYPERLINK("http://www.lxhausys.co.kr/popup/rn/download/downloadPopup.jsp?from=plwindow&amp;uu=/upload/window/REPORT/LXH-EA24-218 F-145GH-7526MLGL1A5.pdf","4등급"),IF(M213&lt;=2.8,HYPERLINK("http://www.lxhausys.co.kr/popup/rn/download/downloadPopup.jsp?from=plwindow&amp;uu=/upload/window/REPORT/LXH-EA24-218 F-145GH-7526MLGL1A5.pdf","5등급"),HYPERLINK("http://www.lxhausys.co.kr/popup/rn/download/downloadPopup.jsp?from=plwindow&amp;uu=/upload/window/REPORT/LXH-TW22-015 S-124-222FFGL1R216.pdf","등급외"))))))</f>
        <v>3등급</v>
      </c>
      <c r="M213" s="45">
        <v>1.788</v>
      </c>
      <c r="N213" s="45">
        <v>1.56</v>
      </c>
      <c r="O213" s="42"/>
      <c r="P213" s="42" t="s">
        <v>103</v>
      </c>
      <c r="Q213" s="42" t="s">
        <v>19</v>
      </c>
      <c r="R213" s="42" t="s">
        <v>19</v>
      </c>
      <c r="S213" s="42" t="s">
        <v>19</v>
      </c>
      <c r="T213" s="42" t="s">
        <v>19</v>
      </c>
      <c r="U213" s="42" t="s">
        <v>19</v>
      </c>
      <c r="V213" s="42" t="s">
        <v>19</v>
      </c>
      <c r="W213" s="42" t="s">
        <v>19</v>
      </c>
      <c r="X213" s="42" t="s">
        <v>75</v>
      </c>
    </row>
    <row r="214" spans="1:24">
      <c r="A214" s="42" t="s">
        <v>672</v>
      </c>
      <c r="B214" s="43" t="s">
        <v>992</v>
      </c>
      <c r="C214" s="42" t="s">
        <v>1288</v>
      </c>
      <c r="D214" s="42" t="s">
        <v>20</v>
      </c>
      <c r="E214" s="43" t="s">
        <v>714</v>
      </c>
      <c r="F214" s="44"/>
      <c r="G214" s="43"/>
      <c r="H214" s="43"/>
      <c r="I214" s="43"/>
      <c r="J214" s="42" t="s">
        <v>1410</v>
      </c>
      <c r="K214" s="43" t="str">
        <f>VLOOKUP(C214,'[1]뷰프레임 전체_상세'!$B:$E,4,0)</f>
        <v>F-140-226FFUG1A5</v>
      </c>
      <c r="L214" s="52" t="str">
        <f>IF(M214&lt;=0.9,HYPERLINK("http://www.lxhausys.co.kr/popup/rn/download/downloadPopup.jsp?from=plwindow&amp;uu=/upload/window/REPORT/LXH-EA24-222 F-140-226FFUG1A5.pdf","1등급"),IF(M214&lt;=1.2,HYPERLINK("http://www.lxhausys.co.kr/popup/rn/download/downloadPopup.jsp?from=plwindow&amp;uu=/upload/window/REPORT/LXH-EA24-222 F-140-226FFUG1A5.pdf","2등급"),IF(M214&lt;=1.8,HYPERLINK("http://www.lxhausys.co.kr/popup/rn/download/downloadPopup.jsp?from=plwindow&amp;uu=/upload/window/REPORT/LXH-EA24-222 F-140-226FFUG1A5.pdf","3등급"),IF(M214&lt;=2.3,HYPERLINK("http://www.lxhausys.co.kr/popup/rn/download/downloadPopup.jsp?from=plwindow&amp;uu=/upload/window/REPORT/LXH-EA24-222 F-140-226FFUG1A5.pdf","4등급"),IF(M214&lt;=2.8,HYPERLINK("http://www.lxhausys.co.kr/popup/rn/download/downloadPopup.jsp?from=plwindow&amp;uu=/upload/window/REPORT/LXH-EA24-222 F-140-226FFUG1A5.pdf","5등급"),HYPERLINK("http://www.lxhausys.co.kr/popup/rn/download/downloadPopup.jsp?from=plwindow&amp;uu=/upload/window/REPORT/LXH-TW22-015 S-124-222FFGL1R217.pdf","등급외"))))))</f>
        <v>3등급</v>
      </c>
      <c r="M214" s="45">
        <v>1.554</v>
      </c>
      <c r="N214" s="45">
        <v>1.37</v>
      </c>
      <c r="O214" s="42"/>
      <c r="P214" s="42" t="s">
        <v>103</v>
      </c>
      <c r="Q214" s="42" t="s">
        <v>19</v>
      </c>
      <c r="R214" s="42" t="s">
        <v>19</v>
      </c>
      <c r="S214" s="42" t="s">
        <v>19</v>
      </c>
      <c r="T214" s="42" t="s">
        <v>19</v>
      </c>
      <c r="U214" s="42" t="s">
        <v>19</v>
      </c>
      <c r="V214" s="42" t="s">
        <v>19</v>
      </c>
      <c r="W214" s="42" t="s">
        <v>19</v>
      </c>
      <c r="X214" s="42" t="s">
        <v>75</v>
      </c>
    </row>
    <row r="215" spans="1:24">
      <c r="A215" s="42" t="s">
        <v>671</v>
      </c>
      <c r="B215" s="43" t="s">
        <v>993</v>
      </c>
      <c r="C215" s="42" t="s">
        <v>1289</v>
      </c>
      <c r="D215" s="42" t="s">
        <v>20</v>
      </c>
      <c r="E215" s="43" t="s">
        <v>734</v>
      </c>
      <c r="F215" s="44" t="s">
        <v>747</v>
      </c>
      <c r="G215" s="43"/>
      <c r="H215" s="43"/>
      <c r="I215" s="43"/>
      <c r="J215" s="42" t="s">
        <v>1410</v>
      </c>
      <c r="K215" s="43" t="str">
        <f>VLOOKUP(C215,'[1]뷰프레임 전체_상세'!$B:$E,4,0)</f>
        <v>F-250-488KGGG2A5</v>
      </c>
      <c r="L215" s="52" t="str">
        <f>IF(M215&lt;=0.9,HYPERLINK("http://www.lxhausys.co.kr/popup/rn/download/downloadPopup.jsp?from=plwindow&amp;uu=/upload/window/REPORT/LXH-EA24-223 F-250-488KGGG2A5.pdf","1등급"),IF(M215&lt;=1.2,HYPERLINK("http://www.lxhausys.co.kr/popup/rn/download/downloadPopup.jsp?from=plwindow&amp;uu=/upload/window/REPORT/LXH-EA24-223 F-250-488KGGG2A5.pdf","2등급"),IF(M215&lt;=1.8,HYPERLINK("http://www.lxhausys.co.kr/popup/rn/download/downloadPopup.jsp?from=plwindow&amp;uu=/upload/window/REPORT/LXH-EA24-223 F-250-488KGGG2A5.pdf","3등급"),IF(M215&lt;=2.3,HYPERLINK("http://www.lxhausys.co.kr/popup/rn/download/downloadPopup.jsp?from=plwindow&amp;uu=/upload/window/REPORT/LXH-EA24-223 F-250-488KGGG2A5.pdf","4등급"),IF(M215&lt;=2.8,HYPERLINK("http://www.lxhausys.co.kr/popup/rn/download/downloadPopup.jsp?from=plwindow&amp;uu=/upload/window/REPORT/LXH-EA24-223 F-250-488KGGG2A5.pdf","5등급"),HYPERLINK("http://www.lxhausys.co.kr/popup/rn/download/downloadPopup.jsp?from=plwindow&amp;uu=/upload/window/REPORT/LXH-TW22-015 S-124-222FFGL1R218.pdf","등급외"))))))</f>
        <v>1등급</v>
      </c>
      <c r="M215" s="45">
        <v>0.79700000000000004</v>
      </c>
      <c r="N215" s="45">
        <v>0.81</v>
      </c>
      <c r="O215" s="42"/>
      <c r="P215" s="42" t="s">
        <v>22</v>
      </c>
      <c r="Q215" s="42" t="s">
        <v>19</v>
      </c>
      <c r="R215" s="42" t="s">
        <v>19</v>
      </c>
      <c r="S215" s="42" t="s">
        <v>19</v>
      </c>
      <c r="T215" s="42" t="s">
        <v>19</v>
      </c>
      <c r="U215" s="42" t="s">
        <v>19</v>
      </c>
      <c r="V215" s="42" t="s">
        <v>19</v>
      </c>
      <c r="W215" s="42" t="s">
        <v>19</v>
      </c>
      <c r="X215" s="42" t="s">
        <v>75</v>
      </c>
    </row>
    <row r="216" spans="1:24">
      <c r="A216" s="42" t="s">
        <v>672</v>
      </c>
      <c r="B216" s="43" t="s">
        <v>994</v>
      </c>
      <c r="C216" s="42" t="s">
        <v>1290</v>
      </c>
      <c r="D216" s="42" t="s">
        <v>20</v>
      </c>
      <c r="E216" s="43" t="s">
        <v>712</v>
      </c>
      <c r="F216" s="44"/>
      <c r="G216" s="43"/>
      <c r="H216" s="43"/>
      <c r="I216" s="43"/>
      <c r="J216" s="42" t="s">
        <v>1410</v>
      </c>
      <c r="K216" s="43" t="str">
        <f>VLOOKUP(C216,'[1]뷰프레임 전체_상세'!$B:$E,4,0)</f>
        <v>F-140-226FFGL1R5-1</v>
      </c>
      <c r="L216" s="52" t="str">
        <f>IF(M216&lt;=0.9,HYPERLINK("http://www.lxhausys.co.kr/popup/rn/download/downloadPopup.jsp?from=plwindow&amp;uu=/upload/window/REPORT/LXH-EA24-224 F-140-226FFGL1R5-1.pdf","1등급"),IF(M216&lt;=1.2,HYPERLINK("http://www.lxhausys.co.kr/popup/rn/download/downloadPopup.jsp?from=plwindow&amp;uu=/upload/window/REPORT/LXH-EA24-224 F-140-226FFGL1R5-1.pdf","2등급"),IF(M216&lt;=1.8,HYPERLINK("http://www.lxhausys.co.kr/popup/rn/download/downloadPopup.jsp?from=plwindow&amp;uu=/upload/window/REPORT/LXH-EA24-224 F-140-226FFGL1R5-1.pdf","3등급"),IF(M216&lt;=2.3,HYPERLINK("http://www.lxhausys.co.kr/popup/rn/download/downloadPopup.jsp?from=plwindow&amp;uu=/upload/window/REPORT/LXH-EA24-224 F-140-226FFGL1R5-1.pdf","4등급"),IF(M216&lt;=2.8,HYPERLINK("http://www.lxhausys.co.kr/popup/rn/download/downloadPopup.jsp?from=plwindow&amp;uu=/upload/window/REPORT/LXH-EA24-224 F-140-226FFGL1R5-1.pdf","5등급"),HYPERLINK("http://www.lxhausys.co.kr/popup/rn/download/downloadPopup.jsp?from=plwindow&amp;uu=/upload/window/REPORT/LXH-TW22-015 S-124-222FFGL1R219.pdf","등급외"))))))</f>
        <v>3등급</v>
      </c>
      <c r="M216" s="45">
        <v>1.7250000000000001</v>
      </c>
      <c r="N216" s="45">
        <v>1.3</v>
      </c>
      <c r="O216" s="42"/>
      <c r="P216" s="42" t="s">
        <v>103</v>
      </c>
      <c r="Q216" s="42" t="s">
        <v>19</v>
      </c>
      <c r="R216" s="42" t="s">
        <v>19</v>
      </c>
      <c r="S216" s="42" t="s">
        <v>19</v>
      </c>
      <c r="T216" s="42" t="s">
        <v>19</v>
      </c>
      <c r="U216" s="42" t="s">
        <v>19</v>
      </c>
      <c r="V216" s="42" t="s">
        <v>19</v>
      </c>
      <c r="W216" s="42" t="s">
        <v>19</v>
      </c>
      <c r="X216" s="42" t="s">
        <v>75</v>
      </c>
    </row>
    <row r="217" spans="1:24">
      <c r="A217" s="42" t="s">
        <v>671</v>
      </c>
      <c r="B217" s="43" t="s">
        <v>995</v>
      </c>
      <c r="C217" s="42" t="s">
        <v>1291</v>
      </c>
      <c r="D217" s="42" t="s">
        <v>20</v>
      </c>
      <c r="E217" s="43" t="s">
        <v>731</v>
      </c>
      <c r="F217" s="44" t="s">
        <v>757</v>
      </c>
      <c r="G217" s="43"/>
      <c r="H217" s="43"/>
      <c r="I217" s="43"/>
      <c r="J217" s="42" t="s">
        <v>1410</v>
      </c>
      <c r="K217" s="43" t="str">
        <f>VLOOKUP(C217,'[1]뷰프레임 전체_상세'!$B:$E,4,0)</f>
        <v>F-250-466GGGL1R5-1</v>
      </c>
      <c r="L217" s="52" t="str">
        <f>IF(M217&lt;=0.9,HYPERLINK("http://www.lxhausys.co.kr/popup/rn/download/downloadPopup.jsp?from=plwindow&amp;uu=/upload/window/REPORT/LXH-EA24-225 F-250-466GGGL1R5-1.pdf","1등급"),IF(M217&lt;=1.2,HYPERLINK("http://www.lxhausys.co.kr/popup/rn/download/downloadPopup.jsp?from=plwindow&amp;uu=/upload/window/REPORT/LXH-EA24-225 F-250-466GGGL1R5-1.pdf","2등급"),IF(M217&lt;=1.8,HYPERLINK("http://www.lxhausys.co.kr/popup/rn/download/downloadPopup.jsp?from=plwindow&amp;uu=/upload/window/REPORT/LXH-EA24-225 F-250-466GGGL1R5-1.pdf","3등급"),IF(M217&lt;=2.3,HYPERLINK("http://www.lxhausys.co.kr/popup/rn/download/downloadPopup.jsp?from=plwindow&amp;uu=/upload/window/REPORT/LXH-EA24-225 F-250-466GGGL1R5-1.pdf","4등급"),IF(M217&lt;=2.8,HYPERLINK("http://www.lxhausys.co.kr/popup/rn/download/downloadPopup.jsp?from=plwindow&amp;uu=/upload/window/REPORT/LXH-EA24-225 F-250-466GGGL1R5-1.pdf","5등급"),HYPERLINK("http://www.lxhausys.co.kr/popup/rn/download/downloadPopup.jsp?from=plwindow&amp;uu=/upload/window/REPORT/LXH-TW22-015 S-124-222FFGL1R220.pdf","등급외"))))))</f>
        <v>1등급</v>
      </c>
      <c r="M217" s="45">
        <v>0.81</v>
      </c>
      <c r="N217" s="45">
        <v>0.82</v>
      </c>
      <c r="O217" s="42"/>
      <c r="P217" s="42" t="s">
        <v>22</v>
      </c>
      <c r="Q217" s="42" t="s">
        <v>19</v>
      </c>
      <c r="R217" s="42" t="s">
        <v>19</v>
      </c>
      <c r="S217" s="42" t="s">
        <v>19</v>
      </c>
      <c r="T217" s="42" t="s">
        <v>19</v>
      </c>
      <c r="U217" s="42" t="s">
        <v>19</v>
      </c>
      <c r="V217" s="42" t="s">
        <v>19</v>
      </c>
      <c r="W217" s="42" t="s">
        <v>19</v>
      </c>
      <c r="X217" s="42" t="s">
        <v>75</v>
      </c>
    </row>
    <row r="218" spans="1:24">
      <c r="A218" s="42" t="s">
        <v>673</v>
      </c>
      <c r="B218" s="43" t="s">
        <v>996</v>
      </c>
      <c r="C218" s="42" t="s">
        <v>1292</v>
      </c>
      <c r="D218" s="42" t="s">
        <v>20</v>
      </c>
      <c r="E218" s="43" t="s">
        <v>712</v>
      </c>
      <c r="F218" s="44"/>
      <c r="G218" s="43"/>
      <c r="H218" s="43"/>
      <c r="I218" s="43"/>
      <c r="J218" s="42" t="s">
        <v>1410</v>
      </c>
      <c r="K218" s="43" t="str">
        <f>VLOOKUP(C218,'[1]뷰프레임 전체_상세'!$B:$E,4,0)</f>
        <v>F-145-226FFGL1R5-1</v>
      </c>
      <c r="L218" s="52" t="str">
        <f>IF(M218&lt;=0.9,HYPERLINK("http://www.lxhausys.co.kr/popup/rn/download/downloadPopup.jsp?from=plwindow&amp;uu=/upload/window/REPORT/LXH-EA24-226 F-145-226FFGL1R5-1.pdf","1등급"),IF(M218&lt;=1.2,HYPERLINK("http://www.lxhausys.co.kr/popup/rn/download/downloadPopup.jsp?from=plwindow&amp;uu=/upload/window/REPORT/LXH-EA24-226 F-145-226FFGL1R5-1.pdf","2등급"),IF(M218&lt;=1.8,HYPERLINK("http://www.lxhausys.co.kr/popup/rn/download/downloadPopup.jsp?from=plwindow&amp;uu=/upload/window/REPORT/LXH-EA24-226 F-145-226FFGL1R5-1.pdf","3등급"),IF(M218&lt;=2.3,HYPERLINK("http://www.lxhausys.co.kr/popup/rn/download/downloadPopup.jsp?from=plwindow&amp;uu=/upload/window/REPORT/LXH-EA24-226 F-145-226FFGL1R5-1.pdf","4등급"),IF(M218&lt;=2.8,HYPERLINK("http://www.lxhausys.co.kr/popup/rn/download/downloadPopup.jsp?from=plwindow&amp;uu=/upload/window/REPORT/LXH-EA24-226 F-145-226FFGL1R5-1.pdf","5등급"),HYPERLINK("http://www.lxhausys.co.kr/popup/rn/download/downloadPopup.jsp?from=plwindow&amp;uu=/upload/window/REPORT/LXH-TW22-015 S-124-222FFGL1R221.pdf","등급외"))))))</f>
        <v>3등급</v>
      </c>
      <c r="M218" s="45">
        <v>1.7210000000000001</v>
      </c>
      <c r="N218" s="45">
        <v>1.52</v>
      </c>
      <c r="O218" s="42"/>
      <c r="P218" s="42" t="s">
        <v>103</v>
      </c>
      <c r="Q218" s="42" t="s">
        <v>19</v>
      </c>
      <c r="R218" s="42" t="s">
        <v>19</v>
      </c>
      <c r="S218" s="42" t="s">
        <v>19</v>
      </c>
      <c r="T218" s="42" t="s">
        <v>19</v>
      </c>
      <c r="U218" s="42" t="s">
        <v>19</v>
      </c>
      <c r="V218" s="42" t="s">
        <v>19</v>
      </c>
      <c r="W218" s="42" t="s">
        <v>19</v>
      </c>
      <c r="X218" s="42" t="s">
        <v>75</v>
      </c>
    </row>
    <row r="219" spans="1:24">
      <c r="A219" s="42" t="s">
        <v>677</v>
      </c>
      <c r="B219" s="43" t="s">
        <v>997</v>
      </c>
      <c r="C219" s="42" t="s">
        <v>1293</v>
      </c>
      <c r="D219" s="42" t="s">
        <v>20</v>
      </c>
      <c r="E219" s="43" t="s">
        <v>731</v>
      </c>
      <c r="F219" s="44" t="s">
        <v>757</v>
      </c>
      <c r="G219" s="43"/>
      <c r="H219" s="43"/>
      <c r="I219" s="43"/>
      <c r="J219" s="42" t="s">
        <v>1410</v>
      </c>
      <c r="K219" s="43" t="str">
        <f>VLOOKUP(C219,'[1]뷰프레임 전체_상세'!$B:$E,4,0)</f>
        <v>F-285-466GGGL1R5-1</v>
      </c>
      <c r="L219" s="52" t="str">
        <f>IF(M219&lt;=0.9,HYPERLINK("http://www.lxhausys.co.kr/popup/rn/download/downloadPopup.jsp?from=plwindow&amp;uu=/upload/window/REPORT/LXH-EA24-229 F-285-466GGGL1R5-1.pdf","1등급"),IF(M219&lt;=1.2,HYPERLINK("http://www.lxhausys.co.kr/popup/rn/download/downloadPopup.jsp?from=plwindow&amp;uu=/upload/window/REPORT/LXH-EA24-229 F-285-466GGGL1R5-1.pdf","2등급"),IF(M219&lt;=1.8,HYPERLINK("http://www.lxhausys.co.kr/popup/rn/download/downloadPopup.jsp?from=plwindow&amp;uu=/upload/window/REPORT/LXH-EA24-229 F-285-466GGGL1R5-1.pdf","3등급"),IF(M219&lt;=2.3,HYPERLINK("http://www.lxhausys.co.kr/popup/rn/download/downloadPopup.jsp?from=plwindow&amp;uu=/upload/window/REPORT/LXH-EA24-229 F-285-466GGGL1R5-1.pdf","4등급"),IF(M219&lt;=2.8,HYPERLINK("http://www.lxhausys.co.kr/popup/rn/download/downloadPopup.jsp?from=plwindow&amp;uu=/upload/window/REPORT/LXH-EA24-229 F-285-466GGGL1R5-1.pdf","5등급"),HYPERLINK("http://www.lxhausys.co.kr/popup/rn/download/downloadPopup.jsp?from=plwindow&amp;uu=/upload/window/REPORT/LXH-TW22-015 S-124-222FFGL1R222.pdf","등급외"))))))</f>
        <v>1등급</v>
      </c>
      <c r="M219" s="45">
        <v>0.79700000000000004</v>
      </c>
      <c r="N219" s="45">
        <v>0.81</v>
      </c>
      <c r="O219" s="42"/>
      <c r="P219" s="42" t="s">
        <v>22</v>
      </c>
      <c r="Q219" s="42" t="s">
        <v>19</v>
      </c>
      <c r="R219" s="42" t="s">
        <v>19</v>
      </c>
      <c r="S219" s="42" t="s">
        <v>19</v>
      </c>
      <c r="T219" s="42" t="s">
        <v>19</v>
      </c>
      <c r="U219" s="42" t="s">
        <v>19</v>
      </c>
      <c r="V219" s="42" t="s">
        <v>19</v>
      </c>
      <c r="W219" s="42" t="s">
        <v>19</v>
      </c>
      <c r="X219" s="42" t="s">
        <v>75</v>
      </c>
    </row>
    <row r="220" spans="1:24">
      <c r="A220" s="42" t="s">
        <v>676</v>
      </c>
      <c r="B220" s="43" t="s">
        <v>998</v>
      </c>
      <c r="C220" s="42" t="s">
        <v>1294</v>
      </c>
      <c r="D220" s="42" t="s">
        <v>20</v>
      </c>
      <c r="E220" s="43" t="s">
        <v>731</v>
      </c>
      <c r="F220" s="44" t="s">
        <v>757</v>
      </c>
      <c r="G220" s="43"/>
      <c r="H220" s="43"/>
      <c r="I220" s="43"/>
      <c r="J220" s="42" t="s">
        <v>1410</v>
      </c>
      <c r="K220" s="43" t="str">
        <f>VLOOKUP(C220,'[1]뷰프레임 전체_상세'!$B:$E,4,0)</f>
        <v>F-265-466GGGL1R5-1</v>
      </c>
      <c r="L220" s="52" t="str">
        <f>IF(M220&lt;=0.9,HYPERLINK("http://www.lxhausys.co.kr/popup/rn/download/downloadPopup.jsp?from=plwindow&amp;uu=/upload/window/REPORT/LXH-EA24-230 F-265-466GGGL1R5-1.pdf","1등급"),IF(M220&lt;=1.2,HYPERLINK("http://www.lxhausys.co.kr/popup/rn/download/downloadPopup.jsp?from=plwindow&amp;uu=/upload/window/REPORT/LXH-EA24-230 F-265-466GGGL1R5-1.pdf","2등급"),IF(M220&lt;=1.8,HYPERLINK("http://www.lxhausys.co.kr/popup/rn/download/downloadPopup.jsp?from=plwindow&amp;uu=/upload/window/REPORT/LXH-EA24-230 F-265-466GGGL1R5-1.pdf","3등급"),IF(M220&lt;=2.3,HYPERLINK("http://www.lxhausys.co.kr/popup/rn/download/downloadPopup.jsp?from=plwindow&amp;uu=/upload/window/REPORT/LXH-EA24-230 F-265-466GGGL1R5-1.pdf","4등급"),IF(M220&lt;=2.8,HYPERLINK("http://www.lxhausys.co.kr/popup/rn/download/downloadPopup.jsp?from=plwindow&amp;uu=/upload/window/REPORT/LXH-EA24-230 F-265-466GGGL1R5-1.pdf","5등급"),HYPERLINK("http://www.lxhausys.co.kr/popup/rn/download/downloadPopup.jsp?from=plwindow&amp;uu=/upload/window/REPORT/LXH-TW22-015 S-124-222FFGL1R223.pdf","등급외"))))))</f>
        <v>1등급</v>
      </c>
      <c r="M220" s="45">
        <v>0.79800000000000004</v>
      </c>
      <c r="N220" s="45">
        <v>0.86</v>
      </c>
      <c r="O220" s="42"/>
      <c r="P220" s="42" t="s">
        <v>22</v>
      </c>
      <c r="Q220" s="42" t="s">
        <v>19</v>
      </c>
      <c r="R220" s="42" t="s">
        <v>19</v>
      </c>
      <c r="S220" s="42" t="s">
        <v>19</v>
      </c>
      <c r="T220" s="42" t="s">
        <v>19</v>
      </c>
      <c r="U220" s="42" t="s">
        <v>19</v>
      </c>
      <c r="V220" s="42" t="s">
        <v>19</v>
      </c>
      <c r="W220" s="42" t="s">
        <v>19</v>
      </c>
      <c r="X220" s="42" t="s">
        <v>75</v>
      </c>
    </row>
    <row r="221" spans="1:24" s="51" customFormat="1">
      <c r="A221" s="46" t="s">
        <v>706</v>
      </c>
      <c r="B221" s="47" t="s">
        <v>999</v>
      </c>
      <c r="C221" s="46" t="s">
        <v>1295</v>
      </c>
      <c r="D221" s="46" t="s">
        <v>20</v>
      </c>
      <c r="E221" s="47" t="s">
        <v>730</v>
      </c>
      <c r="F221" s="48" t="s">
        <v>758</v>
      </c>
      <c r="G221" s="47"/>
      <c r="H221" s="47"/>
      <c r="I221" s="47"/>
      <c r="J221" s="46" t="s">
        <v>1410</v>
      </c>
      <c r="K221" s="47" t="str">
        <f>VLOOKUP(C221,'[1]뷰프레임 전체_상세'!$B:$E,4,0)</f>
        <v>F-250I-466KGKG2A5</v>
      </c>
      <c r="L221" s="52" t="str">
        <f>IF(M221&lt;=0.9,HYPERLINK("http://www.lxhausys.co.kr/popup/rn/download/downloadPopup.jsp?from=plwindow&amp;uu=/upload/window/REPORT/LXH-EA24-238 F-250I-466KGKG2A5.pdf","1등급"),IF(M221&lt;=1.2,HYPERLINK("http://www.lxhausys.co.kr/popup/rn/download/downloadPopup.jsp?from=plwindow&amp;uu=/upload/window/REPORT/LXH-EA24-238 F-250I-466KGKG2A5.pdf","2등급"),IF(M221&lt;=1.8,HYPERLINK("http://www.lxhausys.co.kr/popup/rn/download/downloadPopup.jsp?from=plwindow&amp;uu=/upload/window/REPORT/LXH-EA24-238 F-250I-466KGKG2A5.pdf","3등급"),IF(M221&lt;=2.3,HYPERLINK("http://www.lxhausys.co.kr/popup/rn/download/downloadPopup.jsp?from=plwindow&amp;uu=/upload/window/REPORT/LXH-EA24-238 F-250I-466KGKG2A5.pdf","4등급"),IF(M221&lt;=2.8,HYPERLINK("http://www.lxhausys.co.kr/popup/rn/download/downloadPopup.jsp?from=plwindow&amp;uu=/upload/window/REPORT/LXH-EA24-238 F-250I-466KGKG2A5.pdf","5등급"),HYPERLINK("http://www.lxhausys.co.kr/popup/rn/download/downloadPopup.jsp?from=plwindow&amp;uu=/upload/window/REPORT/LXH-TW22-015 S-124-222FFGL1R224.pdf","등급외"))))))</f>
        <v>1등급</v>
      </c>
      <c r="M221" s="49">
        <v>0.66</v>
      </c>
      <c r="N221" s="49">
        <v>0.81</v>
      </c>
      <c r="O221" s="46"/>
      <c r="P221" s="46" t="s">
        <v>22</v>
      </c>
      <c r="Q221" s="46" t="s">
        <v>19</v>
      </c>
      <c r="R221" s="46" t="s">
        <v>19</v>
      </c>
      <c r="S221" s="46" t="s">
        <v>19</v>
      </c>
      <c r="T221" s="46" t="s">
        <v>19</v>
      </c>
      <c r="U221" s="46" t="s">
        <v>19</v>
      </c>
      <c r="V221" s="46" t="s">
        <v>19</v>
      </c>
      <c r="W221" s="46" t="s">
        <v>19</v>
      </c>
      <c r="X221" s="46" t="s">
        <v>75</v>
      </c>
    </row>
    <row r="222" spans="1:24" s="51" customFormat="1">
      <c r="A222" s="46" t="s">
        <v>706</v>
      </c>
      <c r="B222" s="47" t="s">
        <v>1000</v>
      </c>
      <c r="C222" s="46" t="s">
        <v>1296</v>
      </c>
      <c r="D222" s="46" t="s">
        <v>20</v>
      </c>
      <c r="E222" s="47" t="s">
        <v>731</v>
      </c>
      <c r="F222" s="48" t="s">
        <v>743</v>
      </c>
      <c r="G222" s="47"/>
      <c r="H222" s="47"/>
      <c r="I222" s="47"/>
      <c r="J222" s="46" t="s">
        <v>1410</v>
      </c>
      <c r="K222" s="47" t="str">
        <f>VLOOKUP(C222,'[1]뷰프레임 전체_상세'!$B:$E,4,0)</f>
        <v>F-250I-466GGGG2A5</v>
      </c>
      <c r="L222" s="52" t="str">
        <f>IF(M222&lt;=0.9,HYPERLINK("http://www.lxhausys.co.kr/popup/rn/download/downloadPopup.jsp?from=plwindow&amp;uu=/upload/window/REPORT/LXH-EA24-237 F-250I-466GGGG2A5.pdf","1등급"),IF(M222&lt;=1.2,HYPERLINK("http://www.lxhausys.co.kr/popup/rn/download/downloadPopup.jsp?from=plwindow&amp;uu=/upload/window/REPORT/LXH-EA24-237 F-250I-466GGGG2A5.pdf","2등급"),IF(M222&lt;=1.8,HYPERLINK("http://www.lxhausys.co.kr/popup/rn/download/downloadPopup.jsp?from=plwindow&amp;uu=/upload/window/REPORT/LXH-EA24-237 F-250I-466GGGG2A5.pdf","3등급"),IF(M222&lt;=2.3,HYPERLINK("http://www.lxhausys.co.kr/popup/rn/download/downloadPopup.jsp?from=plwindow&amp;uu=/upload/window/REPORT/LXH-EA24-237 F-250I-466GGGG2A5.pdf","4등급"),IF(M222&lt;=2.8,HYPERLINK("http://www.lxhausys.co.kr/popup/rn/download/downloadPopup.jsp?from=plwindow&amp;uu=/upload/window/REPORT/LXH-EA24-237 F-250I-466GGGG2A5.pdf","5등급"),HYPERLINK("http://www.lxhausys.co.kr/popup/rn/download/downloadPopup.jsp?from=plwindow&amp;uu=/upload/window/REPORT/LXH-TW22-015 S-124-222FFGL1R225.pdf","등급외"))))))</f>
        <v>3등급</v>
      </c>
      <c r="M222" s="49">
        <v>1.2270000000000001</v>
      </c>
      <c r="N222" s="49">
        <v>0.8</v>
      </c>
      <c r="O222" s="46"/>
      <c r="P222" s="46" t="s">
        <v>22</v>
      </c>
      <c r="Q222" s="46" t="s">
        <v>19</v>
      </c>
      <c r="R222" s="46" t="s">
        <v>19</v>
      </c>
      <c r="S222" s="46" t="s">
        <v>19</v>
      </c>
      <c r="T222" s="46" t="s">
        <v>19</v>
      </c>
      <c r="U222" s="46" t="s">
        <v>19</v>
      </c>
      <c r="V222" s="46" t="s">
        <v>19</v>
      </c>
      <c r="W222" s="46" t="s">
        <v>19</v>
      </c>
      <c r="X222" s="46" t="s">
        <v>75</v>
      </c>
    </row>
    <row r="223" spans="1:24" s="51" customFormat="1">
      <c r="A223" s="46" t="s">
        <v>706</v>
      </c>
      <c r="B223" s="47" t="s">
        <v>1001</v>
      </c>
      <c r="C223" s="46" t="s">
        <v>1297</v>
      </c>
      <c r="D223" s="46" t="s">
        <v>20</v>
      </c>
      <c r="E223" s="47" t="s">
        <v>731</v>
      </c>
      <c r="F223" s="48" t="s">
        <v>758</v>
      </c>
      <c r="G223" s="47"/>
      <c r="H223" s="47"/>
      <c r="I223" s="47"/>
      <c r="J223" s="46" t="s">
        <v>1410</v>
      </c>
      <c r="K223" s="47" t="str">
        <f>VLOOKUP(C223,'[1]뷰프레임 전체_상세'!$B:$E,4,0)</f>
        <v>F-250I-466GGKG2A5</v>
      </c>
      <c r="L223" s="52" t="str">
        <f>IF(M223&lt;=0.9,HYPERLINK("http://www.lxhausys.co.kr/popup/rn/download/downloadPopup.jsp?from=plwindow&amp;uu=/upload/window/REPORT/LXH-EA24-236 F-250I-466GGKG2A5.pdf","1등급"),IF(M223&lt;=1.2,HYPERLINK("http://www.lxhausys.co.kr/popup/rn/download/downloadPopup.jsp?from=plwindow&amp;uu=/upload/window/REPORT/LXH-EA24-236 F-250I-466GGKG2A5.pdf","2등급"),IF(M223&lt;=1.8,HYPERLINK("http://www.lxhausys.co.kr/popup/rn/download/downloadPopup.jsp?from=plwindow&amp;uu=/upload/window/REPORT/LXH-EA24-236 F-250I-466GGKG2A5.pdf","3등급"),IF(M223&lt;=2.3,HYPERLINK("http://www.lxhausys.co.kr/popup/rn/download/downloadPopup.jsp?from=plwindow&amp;uu=/upload/window/REPORT/LXH-EA24-236 F-250I-466GGKG2A5.pdf","4등급"),IF(M223&lt;=2.8,HYPERLINK("http://www.lxhausys.co.kr/popup/rn/download/downloadPopup.jsp?from=plwindow&amp;uu=/upload/window/REPORT/LXH-EA24-236 F-250I-466GGKG2A5.pdf","5등급"),HYPERLINK("http://www.lxhausys.co.kr/popup/rn/download/downloadPopup.jsp?from=plwindow&amp;uu=/upload/window/REPORT/LXH-TW22-015 S-124-222FFGL1R226.pdf","등급외"))))))</f>
        <v>1등급</v>
      </c>
      <c r="M223" s="49">
        <v>0.871</v>
      </c>
      <c r="N223" s="49">
        <v>0.81</v>
      </c>
      <c r="O223" s="46"/>
      <c r="P223" s="46" t="s">
        <v>22</v>
      </c>
      <c r="Q223" s="46" t="s">
        <v>19</v>
      </c>
      <c r="R223" s="46" t="s">
        <v>19</v>
      </c>
      <c r="S223" s="46" t="s">
        <v>19</v>
      </c>
      <c r="T223" s="46" t="s">
        <v>19</v>
      </c>
      <c r="U223" s="46" t="s">
        <v>19</v>
      </c>
      <c r="V223" s="46" t="s">
        <v>19</v>
      </c>
      <c r="W223" s="46" t="s">
        <v>19</v>
      </c>
      <c r="X223" s="46" t="s">
        <v>75</v>
      </c>
    </row>
    <row r="224" spans="1:24" s="51" customFormat="1">
      <c r="A224" s="46" t="s">
        <v>706</v>
      </c>
      <c r="B224" s="47" t="s">
        <v>1002</v>
      </c>
      <c r="C224" s="46" t="s">
        <v>1298</v>
      </c>
      <c r="D224" s="46" t="s">
        <v>20</v>
      </c>
      <c r="E224" s="47" t="s">
        <v>730</v>
      </c>
      <c r="F224" s="48" t="s">
        <v>743</v>
      </c>
      <c r="G224" s="47"/>
      <c r="H224" s="47"/>
      <c r="I224" s="47"/>
      <c r="J224" s="46" t="s">
        <v>1410</v>
      </c>
      <c r="K224" s="47" t="str">
        <f>VLOOKUP(C224,'[1]뷰프레임 전체_상세'!$B:$E,4,0)</f>
        <v>F-250I-466KGGG2A5</v>
      </c>
      <c r="L224" s="52" t="str">
        <f>IF(M224&lt;=0.9,HYPERLINK("http://www.lxhausys.co.kr/popup/rn/download/downloadPopup.jsp?from=plwindow&amp;uu=/upload/window/REPORT/LXH-EA24-231 F-250I-466KGGG2A5.pdf","1등급"),IF(M224&lt;=1.2,HYPERLINK("http://www.lxhausys.co.kr/popup/rn/download/downloadPopup.jsp?from=plwindow&amp;uu=/upload/window/REPORT/LXH-EA24-231 F-250I-466KGGG2A5.pdf","2등급"),IF(M224&lt;=1.8,HYPERLINK("http://www.lxhausys.co.kr/popup/rn/download/downloadPopup.jsp?from=plwindow&amp;uu=/upload/window/REPORT/LXH-EA24-231 F-250I-466KGGG2A5.pdf","3등급"),IF(M224&lt;=2.3,HYPERLINK("http://www.lxhausys.co.kr/popup/rn/download/downloadPopup.jsp?from=plwindow&amp;uu=/upload/window/REPORT/LXH-EA24-231 F-250I-466KGGG2A5.pdf","4등급"),IF(M224&lt;=2.8,HYPERLINK("http://www.lxhausys.co.kr/popup/rn/download/downloadPopup.jsp?from=plwindow&amp;uu=/upload/window/REPORT/LXH-EA24-231 F-250I-466KGGG2A5.pdf","5등급"),HYPERLINK("http://www.lxhausys.co.kr/popup/rn/download/downloadPopup.jsp?from=plwindow&amp;uu=/upload/window/REPORT/LXH-TW22-015 S-124-222FFGL1R227.pdf","등급외"))))))</f>
        <v>1등급</v>
      </c>
      <c r="M224" s="49">
        <v>0.875</v>
      </c>
      <c r="N224" s="49">
        <v>0.81</v>
      </c>
      <c r="O224" s="46"/>
      <c r="P224" s="46" t="s">
        <v>22</v>
      </c>
      <c r="Q224" s="46" t="s">
        <v>19</v>
      </c>
      <c r="R224" s="46" t="s">
        <v>19</v>
      </c>
      <c r="S224" s="46" t="s">
        <v>19</v>
      </c>
      <c r="T224" s="46" t="s">
        <v>19</v>
      </c>
      <c r="U224" s="46" t="s">
        <v>19</v>
      </c>
      <c r="V224" s="46" t="s">
        <v>19</v>
      </c>
      <c r="W224" s="46" t="s">
        <v>19</v>
      </c>
      <c r="X224" s="46" t="s">
        <v>75</v>
      </c>
    </row>
    <row r="225" spans="1:24" s="51" customFormat="1">
      <c r="A225" s="46" t="s">
        <v>707</v>
      </c>
      <c r="B225" s="47" t="s">
        <v>1003</v>
      </c>
      <c r="C225" s="46" t="s">
        <v>1299</v>
      </c>
      <c r="D225" s="46" t="s">
        <v>20</v>
      </c>
      <c r="E225" s="47" t="s">
        <v>731</v>
      </c>
      <c r="F225" s="48" t="s">
        <v>758</v>
      </c>
      <c r="G225" s="47"/>
      <c r="H225" s="47"/>
      <c r="I225" s="47"/>
      <c r="J225" s="46" t="s">
        <v>1410</v>
      </c>
      <c r="K225" s="47" t="str">
        <f>VLOOKUP(C225,'[1]뷰프레임 전체_상세'!$B:$E,4,0)</f>
        <v>F-270I-466GGKG2A5</v>
      </c>
      <c r="L225" s="52" t="str">
        <f>IF(M225&lt;=0.9,HYPERLINK("http://www.lxhausys.co.kr/popup/rn/download/downloadPopup.jsp?from=plwindow&amp;uu=/upload/window/REPORT/LXH-EA24-235 F-270I-466GGKG2A5.pdf","1등급"),IF(M225&lt;=1.2,HYPERLINK("http://www.lxhausys.co.kr/popup/rn/download/downloadPopup.jsp?from=plwindow&amp;uu=/upload/window/REPORT/LXH-EA24-235 F-270I-466GGKG2A5.pdf","2등급"),IF(M225&lt;=1.8,HYPERLINK("http://www.lxhausys.co.kr/popup/rn/download/downloadPopup.jsp?from=plwindow&amp;uu=/upload/window/REPORT/LXH-EA24-235 F-270I-466GGKG2A5.pdf","3등급"),IF(M225&lt;=2.3,HYPERLINK("http://www.lxhausys.co.kr/popup/rn/download/downloadPopup.jsp?from=plwindow&amp;uu=/upload/window/REPORT/LXH-EA24-235 F-270I-466GGKG2A5.pdf","4등급"),IF(M225&lt;=2.8,HYPERLINK("http://www.lxhausys.co.kr/popup/rn/download/downloadPopup.jsp?from=plwindow&amp;uu=/upload/window/REPORT/LXH-EA24-235 F-270I-466GGKG2A5.pdf","5등급"),HYPERLINK("http://www.lxhausys.co.kr/popup/rn/download/downloadPopup.jsp?from=plwindow&amp;uu=/upload/window/REPORT/LXH-TW22-015 S-124-222FFGL1R228.pdf","등급외"))))))</f>
        <v>1등급</v>
      </c>
      <c r="M225" s="49">
        <v>0.878</v>
      </c>
      <c r="N225" s="49">
        <v>0.79</v>
      </c>
      <c r="O225" s="46"/>
      <c r="P225" s="46" t="s">
        <v>22</v>
      </c>
      <c r="Q225" s="46" t="s">
        <v>19</v>
      </c>
      <c r="R225" s="46" t="s">
        <v>19</v>
      </c>
      <c r="S225" s="46" t="s">
        <v>19</v>
      </c>
      <c r="T225" s="46" t="s">
        <v>19</v>
      </c>
      <c r="U225" s="46" t="s">
        <v>19</v>
      </c>
      <c r="V225" s="46" t="s">
        <v>19</v>
      </c>
      <c r="W225" s="46" t="s">
        <v>19</v>
      </c>
      <c r="X225" s="46" t="s">
        <v>75</v>
      </c>
    </row>
    <row r="226" spans="1:24" s="51" customFormat="1">
      <c r="A226" s="46" t="s">
        <v>707</v>
      </c>
      <c r="B226" s="47" t="s">
        <v>1004</v>
      </c>
      <c r="C226" s="46" t="s">
        <v>1300</v>
      </c>
      <c r="D226" s="46" t="s">
        <v>20</v>
      </c>
      <c r="E226" s="47" t="s">
        <v>730</v>
      </c>
      <c r="F226" s="48" t="s">
        <v>758</v>
      </c>
      <c r="G226" s="47"/>
      <c r="H226" s="47"/>
      <c r="I226" s="47"/>
      <c r="J226" s="46" t="s">
        <v>1410</v>
      </c>
      <c r="K226" s="47" t="str">
        <f>VLOOKUP(C226,'[1]뷰프레임 전체_상세'!$B:$E,4,0)</f>
        <v>F-270I-466KGKG2A5</v>
      </c>
      <c r="L226" s="52" t="str">
        <f>IF(M226&lt;=0.9,HYPERLINK("http://www.lxhausys.co.kr/popup/rn/download/downloadPopup.jsp?from=plwindow&amp;uu=/upload/window/REPORT/LXH-EA24-234 F-270I-466KGKG2A5.pdf","1등급"),IF(M226&lt;=1.2,HYPERLINK("http://www.lxhausys.co.kr/popup/rn/download/downloadPopup.jsp?from=plwindow&amp;uu=/upload/window/REPORT/LXH-EA24-234 F-270I-466KGKG2A5.pdf","2등급"),IF(M226&lt;=1.8,HYPERLINK("http://www.lxhausys.co.kr/popup/rn/download/downloadPopup.jsp?from=plwindow&amp;uu=/upload/window/REPORT/LXH-EA24-234 F-270I-466KGKG2A5.pdf","3등급"),IF(M226&lt;=2.3,HYPERLINK("http://www.lxhausys.co.kr/popup/rn/download/downloadPopup.jsp?from=plwindow&amp;uu=/upload/window/REPORT/LXH-EA24-234 F-270I-466KGKG2A5.pdf","4등급"),IF(M226&lt;=2.8,HYPERLINK("http://www.lxhausys.co.kr/popup/rn/download/downloadPopup.jsp?from=plwindow&amp;uu=/upload/window/REPORT/LXH-EA24-234 F-270I-466KGKG2A5.pdf","5등급"),HYPERLINK("http://www.lxhausys.co.kr/popup/rn/download/downloadPopup.jsp?from=plwindow&amp;uu=/upload/window/REPORT/LXH-TW22-015 S-124-222FFGL1R229.pdf","등급외"))))))</f>
        <v>1등급</v>
      </c>
      <c r="M226" s="49">
        <v>0.65800000000000003</v>
      </c>
      <c r="N226" s="49">
        <v>0.81</v>
      </c>
      <c r="O226" s="46"/>
      <c r="P226" s="46" t="s">
        <v>22</v>
      </c>
      <c r="Q226" s="46" t="s">
        <v>19</v>
      </c>
      <c r="R226" s="46" t="s">
        <v>19</v>
      </c>
      <c r="S226" s="46" t="s">
        <v>19</v>
      </c>
      <c r="T226" s="46" t="s">
        <v>19</v>
      </c>
      <c r="U226" s="46" t="s">
        <v>19</v>
      </c>
      <c r="V226" s="46" t="s">
        <v>19</v>
      </c>
      <c r="W226" s="46" t="s">
        <v>19</v>
      </c>
      <c r="X226" s="46" t="s">
        <v>75</v>
      </c>
    </row>
    <row r="227" spans="1:24" s="51" customFormat="1">
      <c r="A227" s="46" t="s">
        <v>707</v>
      </c>
      <c r="B227" s="47" t="s">
        <v>1005</v>
      </c>
      <c r="C227" s="46" t="s">
        <v>1301</v>
      </c>
      <c r="D227" s="46" t="s">
        <v>20</v>
      </c>
      <c r="E227" s="47" t="s">
        <v>730</v>
      </c>
      <c r="F227" s="48" t="s">
        <v>743</v>
      </c>
      <c r="G227" s="47"/>
      <c r="H227" s="47"/>
      <c r="I227" s="47"/>
      <c r="J227" s="46" t="s">
        <v>1410</v>
      </c>
      <c r="K227" s="47" t="str">
        <f>VLOOKUP(C227,'[1]뷰프레임 전체_상세'!$B:$E,4,0)</f>
        <v>F-270I-466KGGG2A5</v>
      </c>
      <c r="L227" s="52" t="str">
        <f>IF(M227&lt;=0.9,HYPERLINK("http://www.lxhausys.co.kr/popup/rn/download/downloadPopup.jsp?from=plwindow&amp;uu=/upload/window/REPORT/LXH-EA24-233 F-270I-466KGGG2A5.pdf","1등급"),IF(M227&lt;=1.2,HYPERLINK("http://www.lxhausys.co.kr/popup/rn/download/downloadPopup.jsp?from=plwindow&amp;uu=/upload/window/REPORT/LXH-EA24-233 F-270I-466KGGG2A5.pdf","2등급"),IF(M227&lt;=1.8,HYPERLINK("http://www.lxhausys.co.kr/popup/rn/download/downloadPopup.jsp?from=plwindow&amp;uu=/upload/window/REPORT/LXH-EA24-233 F-270I-466KGGG2A5.pdf","3등급"),IF(M227&lt;=2.3,HYPERLINK("http://www.lxhausys.co.kr/popup/rn/download/downloadPopup.jsp?from=plwindow&amp;uu=/upload/window/REPORT/LXH-EA24-233 F-270I-466KGGG2A5.pdf","4등급"),IF(M227&lt;=2.8,HYPERLINK("http://www.lxhausys.co.kr/popup/rn/download/downloadPopup.jsp?from=plwindow&amp;uu=/upload/window/REPORT/LXH-EA24-233 F-270I-466KGGG2A5.pdf","5등급"),HYPERLINK("http://www.lxhausys.co.kr/popup/rn/download/downloadPopup.jsp?from=plwindow&amp;uu=/upload/window/REPORT/LXH-TW22-015 S-124-222FFGL1R230.pdf","등급외"))))))</f>
        <v>1등급</v>
      </c>
      <c r="M227" s="49">
        <v>0.88900000000000001</v>
      </c>
      <c r="N227" s="49">
        <v>0.81</v>
      </c>
      <c r="O227" s="46"/>
      <c r="P227" s="46" t="s">
        <v>22</v>
      </c>
      <c r="Q227" s="46" t="s">
        <v>19</v>
      </c>
      <c r="R227" s="46" t="s">
        <v>19</v>
      </c>
      <c r="S227" s="46" t="s">
        <v>19</v>
      </c>
      <c r="T227" s="46" t="s">
        <v>19</v>
      </c>
      <c r="U227" s="46" t="s">
        <v>19</v>
      </c>
      <c r="V227" s="46" t="s">
        <v>19</v>
      </c>
      <c r="W227" s="46" t="s">
        <v>19</v>
      </c>
      <c r="X227" s="46" t="s">
        <v>75</v>
      </c>
    </row>
    <row r="228" spans="1:24" s="51" customFormat="1">
      <c r="A228" s="46" t="s">
        <v>707</v>
      </c>
      <c r="B228" s="47" t="s">
        <v>1006</v>
      </c>
      <c r="C228" s="46" t="s">
        <v>1302</v>
      </c>
      <c r="D228" s="46" t="s">
        <v>20</v>
      </c>
      <c r="E228" s="47" t="s">
        <v>731</v>
      </c>
      <c r="F228" s="48" t="s">
        <v>743</v>
      </c>
      <c r="G228" s="47"/>
      <c r="H228" s="47"/>
      <c r="I228" s="47"/>
      <c r="J228" s="46" t="s">
        <v>1410</v>
      </c>
      <c r="K228" s="47" t="str">
        <f>VLOOKUP(C228,'[1]뷰프레임 전체_상세'!$B:$E,4,0)</f>
        <v>F-270I-466GGGG2A5</v>
      </c>
      <c r="L228" s="52" t="str">
        <f>IF(M228&lt;=0.9,HYPERLINK("http://www.lxhausys.co.kr/popup/rn/download/downloadPopup.jsp?from=plwindow&amp;uu=/upload/window/REPORT/LXH-EA24-232 F-270I-466GGGG2A5.pdf","1등급"),IF(M228&lt;=1.2,HYPERLINK("http://www.lxhausys.co.kr/popup/rn/download/downloadPopup.jsp?from=plwindow&amp;uu=/upload/window/REPORT/LXH-EA24-232 F-270I-466GGGG2A5.pdf","2등급"),IF(M228&lt;=1.8,HYPERLINK("http://www.lxhausys.co.kr/popup/rn/download/downloadPopup.jsp?from=plwindow&amp;uu=/upload/window/REPORT/LXH-EA24-232 F-270I-466GGGG2A5.pdf","3등급"),IF(M228&lt;=2.3,HYPERLINK("http://www.lxhausys.co.kr/popup/rn/download/downloadPopup.jsp?from=plwindow&amp;uu=/upload/window/REPORT/LXH-EA24-232 F-270I-466GGGG2A5.pdf","4등급"),IF(M228&lt;=2.8,HYPERLINK("http://www.lxhausys.co.kr/popup/rn/download/downloadPopup.jsp?from=plwindow&amp;uu=/upload/window/REPORT/LXH-EA24-232 F-270I-466GGGG2A5.pdf","5등급"),HYPERLINK("http://www.lxhausys.co.kr/popup/rn/download/downloadPopup.jsp?from=plwindow&amp;uu=/upload/window/REPORT/LXH-TW22-015 S-124-222FFGL1R231.pdf","등급외"))))))</f>
        <v>3등급</v>
      </c>
      <c r="M228" s="49">
        <v>1.2170000000000001</v>
      </c>
      <c r="N228" s="49">
        <v>0.8</v>
      </c>
      <c r="O228" s="46"/>
      <c r="P228" s="46" t="s">
        <v>22</v>
      </c>
      <c r="Q228" s="46" t="s">
        <v>19</v>
      </c>
      <c r="R228" s="46" t="s">
        <v>19</v>
      </c>
      <c r="S228" s="46" t="s">
        <v>19</v>
      </c>
      <c r="T228" s="46" t="s">
        <v>19</v>
      </c>
      <c r="U228" s="46" t="s">
        <v>19</v>
      </c>
      <c r="V228" s="46" t="s">
        <v>19</v>
      </c>
      <c r="W228" s="46" t="s">
        <v>19</v>
      </c>
      <c r="X228" s="46" t="s">
        <v>75</v>
      </c>
    </row>
    <row r="229" spans="1:24" s="51" customFormat="1">
      <c r="A229" s="46" t="s">
        <v>708</v>
      </c>
      <c r="B229" s="47" t="s">
        <v>1007</v>
      </c>
      <c r="C229" s="46" t="s">
        <v>1303</v>
      </c>
      <c r="D229" s="46" t="s">
        <v>20</v>
      </c>
      <c r="E229" s="47" t="s">
        <v>713</v>
      </c>
      <c r="F229" s="48"/>
      <c r="G229" s="47"/>
      <c r="H229" s="47"/>
      <c r="I229" s="47"/>
      <c r="J229" s="46" t="s">
        <v>1410</v>
      </c>
      <c r="K229" s="47" t="str">
        <f>VLOOKUP(C229,'[1]뷰프레임 전체_상세'!$B:$E,4,0)</f>
        <v>F-130I-226FFGG1A5</v>
      </c>
      <c r="L229" s="52" t="str">
        <f>IF(M229&lt;=0.9,HYPERLINK("http://www.lxhausys.co.kr/popup/rn/download/downloadPopup.jsp?from=plwindow&amp;uu=/upload/window/REPORT/LXH-EA24-228 F-130I-226FFGG1A5.pdf","1등급"),IF(M229&lt;=1.2,HYPERLINK("http://www.lxhausys.co.kr/popup/rn/download/downloadPopup.jsp?from=plwindow&amp;uu=/upload/window/REPORT/LXH-EA24-228 F-130I-226FFGG1A5.pdf","2등급"),IF(M229&lt;=1.8,HYPERLINK("http://www.lxhausys.co.kr/popup/rn/download/downloadPopup.jsp?from=plwindow&amp;uu=/upload/window/REPORT/LXH-EA24-228 F-130I-226FFGG1A5.pdf","3등급"),IF(M229&lt;=2.3,HYPERLINK("http://www.lxhausys.co.kr/popup/rn/download/downloadPopup.jsp?from=plwindow&amp;uu=/upload/window/REPORT/LXH-EA24-228 F-130I-226FFGG1A5.pdf","4등급"),IF(M229&lt;=2.8,HYPERLINK("http://www.lxhausys.co.kr/popup/rn/download/downloadPopup.jsp?from=plwindow&amp;uu=/upload/window/REPORT/LXH-EA24-228 F-130I-226FFGG1A5.pdf","5등급"),HYPERLINK("http://www.lxhausys.co.kr/popup/rn/download/downloadPopup.jsp?from=plwindow&amp;uu=/upload/window/REPORT/LXH-TW22-015 S-124-222FFGL1R232.pdf","등급외"))))))</f>
        <v>5등급</v>
      </c>
      <c r="M229" s="49">
        <v>2.7320000000000002</v>
      </c>
      <c r="N229" s="49">
        <v>1.34</v>
      </c>
      <c r="O229" s="46"/>
      <c r="P229" s="46" t="s">
        <v>103</v>
      </c>
      <c r="Q229" s="46" t="s">
        <v>19</v>
      </c>
      <c r="R229" s="46" t="s">
        <v>19</v>
      </c>
      <c r="S229" s="46" t="s">
        <v>19</v>
      </c>
      <c r="T229" s="46" t="s">
        <v>19</v>
      </c>
      <c r="U229" s="46" t="s">
        <v>19</v>
      </c>
      <c r="V229" s="46" t="s">
        <v>19</v>
      </c>
      <c r="W229" s="46" t="s">
        <v>19</v>
      </c>
      <c r="X229" s="46" t="s">
        <v>75</v>
      </c>
    </row>
    <row r="230" spans="1:24" s="51" customFormat="1">
      <c r="A230" s="46" t="s">
        <v>708</v>
      </c>
      <c r="B230" s="47" t="s">
        <v>1008</v>
      </c>
      <c r="C230" s="46" t="s">
        <v>1304</v>
      </c>
      <c r="D230" s="46" t="s">
        <v>20</v>
      </c>
      <c r="E230" s="47" t="s">
        <v>714</v>
      </c>
      <c r="F230" s="48"/>
      <c r="G230" s="47"/>
      <c r="H230" s="47"/>
      <c r="I230" s="47"/>
      <c r="J230" s="46" t="s">
        <v>1410</v>
      </c>
      <c r="K230" s="47" t="str">
        <f>VLOOKUP(C230,'[1]뷰프레임 전체_상세'!$B:$E,4,0)</f>
        <v>F-130I-226FFKG1A5</v>
      </c>
      <c r="L230" s="52" t="str">
        <f>IF(M230&lt;=0.9,HYPERLINK("http://www.lxhausys.co.kr/popup/rn/download/downloadPopup.jsp?from=plwindow&amp;uu=/upload/window/REPORT/LXH-EA24-227 F-130I-226FFKG1A5.pdf","1등급"),IF(M230&lt;=1.2,HYPERLINK("http://www.lxhausys.co.kr/popup/rn/download/downloadPopup.jsp?from=plwindow&amp;uu=/upload/window/REPORT/LXH-EA24-227 F-130I-226FFKG1A5.pdf","2등급"),IF(M230&lt;=1.8,HYPERLINK("http://www.lxhausys.co.kr/popup/rn/download/downloadPopup.jsp?from=plwindow&amp;uu=/upload/window/REPORT/LXH-EA24-227 F-130I-226FFKG1A5.pdf","3등급"),IF(M230&lt;=2.3,HYPERLINK("http://www.lxhausys.co.kr/popup/rn/download/downloadPopup.jsp?from=plwindow&amp;uu=/upload/window/REPORT/LXH-EA24-227 F-130I-226FFKG1A5.pdf","4등급"),IF(M230&lt;=2.8,HYPERLINK("http://www.lxhausys.co.kr/popup/rn/download/downloadPopup.jsp?from=plwindow&amp;uu=/upload/window/REPORT/LXH-EA24-227 F-130I-226FFKG1A5.pdf","5등급"),HYPERLINK("http://www.lxhausys.co.kr/popup/rn/download/downloadPopup.jsp?from=plwindow&amp;uu=/upload/window/REPORT/LXH-TW22-015 S-124-222FFGL1R233.pdf","등급외"))))))</f>
        <v>4등급</v>
      </c>
      <c r="M230" s="49">
        <v>1.819</v>
      </c>
      <c r="N230" s="49">
        <v>1.35</v>
      </c>
      <c r="O230" s="46"/>
      <c r="P230" s="46" t="s">
        <v>103</v>
      </c>
      <c r="Q230" s="46" t="s">
        <v>19</v>
      </c>
      <c r="R230" s="46" t="s">
        <v>19</v>
      </c>
      <c r="S230" s="46" t="s">
        <v>19</v>
      </c>
      <c r="T230" s="46" t="s">
        <v>19</v>
      </c>
      <c r="U230" s="46" t="s">
        <v>19</v>
      </c>
      <c r="V230" s="46" t="s">
        <v>19</v>
      </c>
      <c r="W230" s="46" t="s">
        <v>19</v>
      </c>
      <c r="X230" s="46" t="s">
        <v>75</v>
      </c>
    </row>
    <row r="231" spans="1:24">
      <c r="A231" s="42" t="s">
        <v>708</v>
      </c>
      <c r="B231" s="43" t="s">
        <v>1009</v>
      </c>
      <c r="C231" s="42" t="s">
        <v>1305</v>
      </c>
      <c r="D231" s="42" t="s">
        <v>20</v>
      </c>
      <c r="E231" s="43" t="s">
        <v>715</v>
      </c>
      <c r="F231" s="44"/>
      <c r="G231" s="43"/>
      <c r="H231" s="43"/>
      <c r="I231" s="43"/>
      <c r="J231" s="42" t="s">
        <v>1410</v>
      </c>
      <c r="K231" s="43" t="str">
        <f>VLOOKUP(C231,'[1]뷰프레임 전체_상세'!$B:$E,4,0)</f>
        <v>F-130I-224FFGS1R5</v>
      </c>
      <c r="L231" s="52" t="str">
        <f>IF(M231&lt;=0.9,HYPERLINK("http://www.lxhausys.co.kr/popup/rn/download/downloadPopup.jsp?from=plwindow&amp;uu=/upload/window/REPORT/LXH-EA25-001 F-130I-224FFGS1R5.pdf","1등급"),IF(M231&lt;=1.2,HYPERLINK("http://www.lxhausys.co.kr/popup/rn/download/downloadPopup.jsp?from=plwindow&amp;uu=/upload/window/REPORT/LXH-EA25-001 F-130I-224FFGS1R5.pdf","2등급"),IF(M231&lt;=1.8,HYPERLINK("http://www.lxhausys.co.kr/popup/rn/download/downloadPopup.jsp?from=plwindow&amp;uu=/upload/window/REPORT/LXH-EA25-001 F-130I-224FFGS1R5.pdf","3등급"),IF(M231&lt;=2.3,HYPERLINK("http://www.lxhausys.co.kr/popup/rn/download/downloadPopup.jsp?from=plwindow&amp;uu=/upload/window/REPORT/LXH-EA25-001 F-130I-224FFGS1R5.pdf","4등급"),IF(M231&lt;=2.8,HYPERLINK("http://www.lxhausys.co.kr/popup/rn/download/downloadPopup.jsp?from=plwindow&amp;uu=/upload/window/REPORT/LXH-EA25-001 F-130I-224FFGS1R5.pdf","5등급"),HYPERLINK("http://www.lxhausys.co.kr/popup/rn/download/downloadPopup.jsp?from=plwindow&amp;uu=/upload/window/REPORT/LXH-TW22-015 S-124-222FFGL1R234.pdf","등급외"))))))</f>
        <v>3등급</v>
      </c>
      <c r="M231" s="45">
        <v>1.66</v>
      </c>
      <c r="N231" s="45">
        <v>1.37</v>
      </c>
      <c r="O231" s="42"/>
      <c r="P231" s="42" t="s">
        <v>103</v>
      </c>
      <c r="Q231" s="42" t="s">
        <v>19</v>
      </c>
      <c r="R231" s="42" t="s">
        <v>19</v>
      </c>
      <c r="S231" s="42" t="s">
        <v>19</v>
      </c>
      <c r="T231" s="42" t="s">
        <v>19</v>
      </c>
      <c r="U231" s="42" t="s">
        <v>19</v>
      </c>
      <c r="V231" s="42" t="s">
        <v>19</v>
      </c>
      <c r="W231" s="42" t="s">
        <v>19</v>
      </c>
      <c r="X231" s="42" t="s">
        <v>75</v>
      </c>
    </row>
    <row r="232" spans="1:24">
      <c r="A232" s="42" t="s">
        <v>708</v>
      </c>
      <c r="B232" s="43" t="s">
        <v>1010</v>
      </c>
      <c r="C232" s="42" t="s">
        <v>1306</v>
      </c>
      <c r="D232" s="42" t="s">
        <v>20</v>
      </c>
      <c r="E232" s="43" t="s">
        <v>716</v>
      </c>
      <c r="F232" s="44"/>
      <c r="G232" s="43"/>
      <c r="H232" s="43"/>
      <c r="I232" s="43"/>
      <c r="J232" s="42" t="s">
        <v>1410</v>
      </c>
      <c r="K232" s="43" t="str">
        <f>VLOOKUP(C232,'[1]뷰프레임 전체_상세'!$B:$E,4,0)</f>
        <v>F-130I-224FFKG1R5</v>
      </c>
      <c r="L232" s="52" t="str">
        <f>IF(M232&lt;=0.9,HYPERLINK("http://www.lxhausys.co.kr/popup/rn/download/downloadPopup.jsp?from=plwindow&amp;uu=/upload/window/REPORT/LXH-EA25-002 F-130I-224FFKG1R5.pdf","1등급"),IF(M232&lt;=1.2,HYPERLINK("http://www.lxhausys.co.kr/popup/rn/download/downloadPopup.jsp?from=plwindow&amp;uu=/upload/window/REPORT/LXH-EA25-002 F-130I-224FFKG1R5.pdf","2등급"),IF(M232&lt;=1.8,HYPERLINK("http://www.lxhausys.co.kr/popup/rn/download/downloadPopup.jsp?from=plwindow&amp;uu=/upload/window/REPORT/LXH-EA25-002 F-130I-224FFKG1R5.pdf","3등급"),IF(M232&lt;=2.3,HYPERLINK("http://www.lxhausys.co.kr/popup/rn/download/downloadPopup.jsp?from=plwindow&amp;uu=/upload/window/REPORT/LXH-EA25-002 F-130I-224FFKG1R5.pdf","4등급"),IF(M232&lt;=2.8,HYPERLINK("http://www.lxhausys.co.kr/popup/rn/download/downloadPopup.jsp?from=plwindow&amp;uu=/upload/window/REPORT/LXH-EA25-002 F-130I-224FFKG1R5.pdf","5등급"),HYPERLINK("http://www.lxhausys.co.kr/popup/rn/download/downloadPopup.jsp?from=plwindow&amp;uu=/upload/window/REPORT/LXH-TW22-015 S-124-222FFGL1R235.pdf","등급외"))))))</f>
        <v>3등급</v>
      </c>
      <c r="M232" s="45">
        <v>1.59</v>
      </c>
      <c r="N232" s="45">
        <v>1.4</v>
      </c>
      <c r="O232" s="42"/>
      <c r="P232" s="42" t="s">
        <v>103</v>
      </c>
      <c r="Q232" s="42" t="s">
        <v>19</v>
      </c>
      <c r="R232" s="42" t="s">
        <v>19</v>
      </c>
      <c r="S232" s="42" t="s">
        <v>19</v>
      </c>
      <c r="T232" s="42" t="s">
        <v>19</v>
      </c>
      <c r="U232" s="42" t="s">
        <v>19</v>
      </c>
      <c r="V232" s="42" t="s">
        <v>19</v>
      </c>
      <c r="W232" s="42" t="s">
        <v>19</v>
      </c>
      <c r="X232" s="42" t="s">
        <v>75</v>
      </c>
    </row>
    <row r="233" spans="1:24">
      <c r="A233" s="42" t="s">
        <v>708</v>
      </c>
      <c r="B233" s="43" t="s">
        <v>1011</v>
      </c>
      <c r="C233" s="42" t="s">
        <v>1307</v>
      </c>
      <c r="D233" s="42" t="s">
        <v>20</v>
      </c>
      <c r="E233" s="43" t="s">
        <v>717</v>
      </c>
      <c r="F233" s="44"/>
      <c r="G233" s="43"/>
      <c r="H233" s="43"/>
      <c r="I233" s="43"/>
      <c r="J233" s="42" t="s">
        <v>1410</v>
      </c>
      <c r="K233" s="43" t="str">
        <f>VLOOKUP(C233,'[1]뷰프레임 전체_상세'!$B:$E,4,0)</f>
        <v>F-130I-226FFGS1A5</v>
      </c>
      <c r="L233" s="52" t="str">
        <f>IF(M233&lt;=0.9,HYPERLINK("http://www.lxhausys.co.kr/popup/rn/download/downloadPopup.jsp?from=plwindow&amp;uu=/upload/window/REPORT/LXH-EA25-003 F-130I-226FFGS1A5.pdf","1등급"),IF(M233&lt;=1.2,HYPERLINK("http://www.lxhausys.co.kr/popup/rn/download/downloadPopup.jsp?from=plwindow&amp;uu=/upload/window/REPORT/LXH-EA25-003 F-130I-226FFGS1A5.pdf","2등급"),IF(M233&lt;=1.8,HYPERLINK("http://www.lxhausys.co.kr/popup/rn/download/downloadPopup.jsp?from=plwindow&amp;uu=/upload/window/REPORT/LXH-EA25-003 F-130I-226FFGS1A5.pdf","3등급"),IF(M233&lt;=2.3,HYPERLINK("http://www.lxhausys.co.kr/popup/rn/download/downloadPopup.jsp?from=plwindow&amp;uu=/upload/window/REPORT/LXH-EA25-003 F-130I-226FFGS1A5.pdf","4등급"),IF(M233&lt;=2.8,HYPERLINK("http://www.lxhausys.co.kr/popup/rn/download/downloadPopup.jsp?from=plwindow&amp;uu=/upload/window/REPORT/LXH-EA25-003 F-130I-226FFGS1A5.pdf","5등급"),HYPERLINK("http://www.lxhausys.co.kr/popup/rn/download/downloadPopup.jsp?from=plwindow&amp;uu=/upload/window/REPORT/LXH-TW22-015 S-124-222FFGL1R236.pdf","등급외"))))))</f>
        <v>4등급</v>
      </c>
      <c r="M233" s="45">
        <v>1.86</v>
      </c>
      <c r="N233" s="45">
        <v>1.48</v>
      </c>
      <c r="O233" s="42"/>
      <c r="P233" s="42" t="s">
        <v>103</v>
      </c>
      <c r="Q233" s="42" t="s">
        <v>19</v>
      </c>
      <c r="R233" s="42" t="s">
        <v>19</v>
      </c>
      <c r="S233" s="42" t="s">
        <v>19</v>
      </c>
      <c r="T233" s="42" t="s">
        <v>19</v>
      </c>
      <c r="U233" s="42" t="s">
        <v>19</v>
      </c>
      <c r="V233" s="42" t="s">
        <v>19</v>
      </c>
      <c r="W233" s="42" t="s">
        <v>19</v>
      </c>
      <c r="X233" s="42" t="s">
        <v>75</v>
      </c>
    </row>
    <row r="234" spans="1:24">
      <c r="A234" s="42" t="s">
        <v>708</v>
      </c>
      <c r="B234" s="43" t="s">
        <v>1012</v>
      </c>
      <c r="C234" s="42" t="s">
        <v>1308</v>
      </c>
      <c r="D234" s="42" t="s">
        <v>20</v>
      </c>
      <c r="E234" s="43" t="s">
        <v>718</v>
      </c>
      <c r="F234" s="44"/>
      <c r="G234" s="43"/>
      <c r="H234" s="43"/>
      <c r="I234" s="43"/>
      <c r="J234" s="42" t="s">
        <v>1410</v>
      </c>
      <c r="K234" s="43" t="str">
        <f>VLOOKUP(C234,'[1]뷰프레임 전체_상세'!$B:$E,4,0)</f>
        <v>F-130I-226FFGS1R5</v>
      </c>
      <c r="L234" s="52" t="str">
        <f>IF(M234&lt;=0.9,HYPERLINK("http://www.lxhausys.co.kr/popup/rn/download/downloadPopup.jsp?from=plwindow&amp;uu=/upload/window/REPORT/LXH-EA25-004 F-130I-226FFGS1R5.pdf","1등급"),IF(M234&lt;=1.2,HYPERLINK("http://www.lxhausys.co.kr/popup/rn/download/downloadPopup.jsp?from=plwindow&amp;uu=/upload/window/REPORT/LXH-EA25-004 F-130I-226FFGS1R5.pdf","2등급"),IF(M234&lt;=1.8,HYPERLINK("http://www.lxhausys.co.kr/popup/rn/download/downloadPopup.jsp?from=plwindow&amp;uu=/upload/window/REPORT/LXH-EA25-004 F-130I-226FFGS1R5.pdf","3등급"),IF(M234&lt;=2.3,HYPERLINK("http://www.lxhausys.co.kr/popup/rn/download/downloadPopup.jsp?from=plwindow&amp;uu=/upload/window/REPORT/LXH-EA25-004 F-130I-226FFGS1R5.pdf","4등급"),IF(M234&lt;=2.8,HYPERLINK("http://www.lxhausys.co.kr/popup/rn/download/downloadPopup.jsp?from=plwindow&amp;uu=/upload/window/REPORT/LXH-EA25-004 F-130I-226FFGS1R5.pdf","5등급"),HYPERLINK("http://www.lxhausys.co.kr/popup/rn/download/downloadPopup.jsp?from=plwindow&amp;uu=/upload/window/REPORT/LXH-TW22-015 S-124-222FFGL1R237.pdf","등급외"))))))</f>
        <v>3등급</v>
      </c>
      <c r="M234" s="45">
        <v>1.67</v>
      </c>
      <c r="N234" s="45">
        <v>1.53</v>
      </c>
      <c r="O234" s="42"/>
      <c r="P234" s="42" t="s">
        <v>103</v>
      </c>
      <c r="Q234" s="42" t="s">
        <v>19</v>
      </c>
      <c r="R234" s="42" t="s">
        <v>19</v>
      </c>
      <c r="S234" s="42" t="s">
        <v>19</v>
      </c>
      <c r="T234" s="42" t="s">
        <v>19</v>
      </c>
      <c r="U234" s="42" t="s">
        <v>19</v>
      </c>
      <c r="V234" s="42" t="s">
        <v>19</v>
      </c>
      <c r="W234" s="42" t="s">
        <v>19</v>
      </c>
      <c r="X234" s="42" t="s">
        <v>75</v>
      </c>
    </row>
    <row r="235" spans="1:24">
      <c r="A235" s="42" t="s">
        <v>708</v>
      </c>
      <c r="B235" s="43" t="s">
        <v>1013</v>
      </c>
      <c r="C235" s="42" t="s">
        <v>1309</v>
      </c>
      <c r="D235" s="42" t="s">
        <v>20</v>
      </c>
      <c r="E235" s="43" t="s">
        <v>719</v>
      </c>
      <c r="F235" s="44"/>
      <c r="G235" s="43"/>
      <c r="H235" s="43"/>
      <c r="I235" s="43"/>
      <c r="J235" s="42" t="s">
        <v>1410</v>
      </c>
      <c r="K235" s="43" t="str">
        <f>VLOOKUP(C235,'[1]뷰프레임 전체_상세'!$B:$E,4,0)</f>
        <v>F-130I-226FFKG1R5</v>
      </c>
      <c r="L235" s="52" t="str">
        <f>IF(M235&lt;=0.9,HYPERLINK("http://www.lxhausys.co.kr/popup/rn/download/downloadPopup.jsp?from=plwindow&amp;uu=/upload/window/REPORT/LXH-EA25-005 F-130I-226FFKG1R5.pdf","1등급"),IF(M235&lt;=1.2,HYPERLINK("http://www.lxhausys.co.kr/popup/rn/download/downloadPopup.jsp?from=plwindow&amp;uu=/upload/window/REPORT/LXH-EA25-005 F-130I-226FFKG1R5.pdf","2등급"),IF(M235&lt;=1.8,HYPERLINK("http://www.lxhausys.co.kr/popup/rn/download/downloadPopup.jsp?from=plwindow&amp;uu=/upload/window/REPORT/LXH-EA25-005 F-130I-226FFKG1R5.pdf","3등급"),IF(M235&lt;=2.3,HYPERLINK("http://www.lxhausys.co.kr/popup/rn/download/downloadPopup.jsp?from=plwindow&amp;uu=/upload/window/REPORT/LXH-EA25-005 F-130I-226FFKG1R5.pdf","4등급"),IF(M235&lt;=2.8,HYPERLINK("http://www.lxhausys.co.kr/popup/rn/download/downloadPopup.jsp?from=plwindow&amp;uu=/upload/window/REPORT/LXH-EA25-005 F-130I-226FFKG1R5.pdf","5등급"),HYPERLINK("http://www.lxhausys.co.kr/popup/rn/download/downloadPopup.jsp?from=plwindow&amp;uu=/upload/window/REPORT/LXH-TW22-015 S-124-222FFGL1R238.pdf","등급외"))))))</f>
        <v>3등급</v>
      </c>
      <c r="M235" s="45">
        <v>1.55</v>
      </c>
      <c r="N235" s="45">
        <v>1.41</v>
      </c>
      <c r="O235" s="42"/>
      <c r="P235" s="42" t="s">
        <v>103</v>
      </c>
      <c r="Q235" s="42" t="s">
        <v>19</v>
      </c>
      <c r="R235" s="42" t="s">
        <v>19</v>
      </c>
      <c r="S235" s="42" t="s">
        <v>19</v>
      </c>
      <c r="T235" s="42" t="s">
        <v>19</v>
      </c>
      <c r="U235" s="42" t="s">
        <v>19</v>
      </c>
      <c r="V235" s="42" t="s">
        <v>19</v>
      </c>
      <c r="W235" s="42" t="s">
        <v>19</v>
      </c>
      <c r="X235" s="42" t="s">
        <v>75</v>
      </c>
    </row>
    <row r="236" spans="1:24">
      <c r="A236" s="42" t="s">
        <v>708</v>
      </c>
      <c r="B236" s="43" t="s">
        <v>1014</v>
      </c>
      <c r="C236" s="42" t="s">
        <v>1310</v>
      </c>
      <c r="D236" s="42" t="s">
        <v>20</v>
      </c>
      <c r="E236" s="43" t="s">
        <v>720</v>
      </c>
      <c r="F236" s="44"/>
      <c r="G236" s="43"/>
      <c r="H236" s="43"/>
      <c r="I236" s="43"/>
      <c r="J236" s="42" t="s">
        <v>1410</v>
      </c>
      <c r="K236" s="43" t="str">
        <f>VLOOKUP(C236,'[1]뷰프레임 전체_상세'!$B:$E,4,0)</f>
        <v>F-130I-224FFGG1A5</v>
      </c>
      <c r="L236" s="52" t="str">
        <f>IF(M236&lt;=0.9,HYPERLINK("http://www.lxhausys.co.kr/popup/rn/download/downloadPopup.jsp?from=plwindow&amp;uu=/upload/window/REPORT/LXH-EA25-006 F-130I-224FFGG1A5.pdf","1등급"),IF(M236&lt;=1.2,HYPERLINK("http://www.lxhausys.co.kr/popup/rn/download/downloadPopup.jsp?from=plwindow&amp;uu=/upload/window/REPORT/LXH-EA25-006 F-130I-224FFGG1A5.pdf","2등급"),IF(M236&lt;=1.8,HYPERLINK("http://www.lxhausys.co.kr/popup/rn/download/downloadPopup.jsp?from=plwindow&amp;uu=/upload/window/REPORT/LXH-EA25-006 F-130I-224FFGG1A5.pdf","3등급"),IF(M236&lt;=2.3,HYPERLINK("http://www.lxhausys.co.kr/popup/rn/download/downloadPopup.jsp?from=plwindow&amp;uu=/upload/window/REPORT/LXH-EA25-006 F-130I-224FFGG1A5.pdf","4등급"),IF(M236&lt;=2.8,HYPERLINK("http://www.lxhausys.co.kr/popup/rn/download/downloadPopup.jsp?from=plwindow&amp;uu=/upload/window/REPORT/LXH-EA25-006 F-130I-224FFGG1A5.pdf","5등급"),HYPERLINK("http://www.lxhausys.co.kr/popup/rn/download/downloadPopup.jsp?from=plwindow&amp;uu=/upload/window/REPORT/LXH-TW22-015 S-124-222FFGL1R239.pdf","등급외"))))))</f>
        <v>5등급</v>
      </c>
      <c r="M236" s="45">
        <v>2.72</v>
      </c>
      <c r="N236" s="45">
        <v>1.4</v>
      </c>
      <c r="O236" s="42"/>
      <c r="P236" s="42" t="s">
        <v>103</v>
      </c>
      <c r="Q236" s="42" t="s">
        <v>19</v>
      </c>
      <c r="R236" s="42" t="s">
        <v>19</v>
      </c>
      <c r="S236" s="42" t="s">
        <v>19</v>
      </c>
      <c r="T236" s="42" t="s">
        <v>19</v>
      </c>
      <c r="U236" s="42" t="s">
        <v>19</v>
      </c>
      <c r="V236" s="42" t="s">
        <v>19</v>
      </c>
      <c r="W236" s="42" t="s">
        <v>19</v>
      </c>
      <c r="X236" s="42" t="s">
        <v>75</v>
      </c>
    </row>
    <row r="237" spans="1:24">
      <c r="A237" s="42" t="s">
        <v>708</v>
      </c>
      <c r="B237" s="43" t="s">
        <v>1015</v>
      </c>
      <c r="C237" s="42" t="s">
        <v>1311</v>
      </c>
      <c r="D237" s="42" t="s">
        <v>20</v>
      </c>
      <c r="E237" s="43" t="s">
        <v>721</v>
      </c>
      <c r="F237" s="44"/>
      <c r="G237" s="43"/>
      <c r="H237" s="43"/>
      <c r="I237" s="43"/>
      <c r="J237" s="42" t="s">
        <v>1410</v>
      </c>
      <c r="K237" s="43" t="str">
        <f>VLOOKUP(C237,'[1]뷰프레임 전체_상세'!$B:$E,4,0)</f>
        <v>F-130I-224FFGS1A5</v>
      </c>
      <c r="L237" s="52" t="str">
        <f>IF(M237&lt;=0.9,HYPERLINK("http://www.lxhausys.co.kr/popup/rn/download/downloadPopup.jsp?from=plwindow&amp;uu=/upload/window/REPORT/LXH-EA25-007 F-130I-224FFGS1A5.pdf","1등급"),IF(M237&lt;=1.2,HYPERLINK("http://www.lxhausys.co.kr/popup/rn/download/downloadPopup.jsp?from=plwindow&amp;uu=/upload/window/REPORT/LXH-EA25-007 F-130I-224FFGS1A5.pdf","2등급"),IF(M237&lt;=1.8,HYPERLINK("http://www.lxhausys.co.kr/popup/rn/download/downloadPopup.jsp?from=plwindow&amp;uu=/upload/window/REPORT/LXH-EA25-007 F-130I-224FFGS1A5.pdf","3등급"),IF(M237&lt;=2.3,HYPERLINK("http://www.lxhausys.co.kr/popup/rn/download/downloadPopup.jsp?from=plwindow&amp;uu=/upload/window/REPORT/LXH-EA25-007 F-130I-224FFGS1A5.pdf","4등급"),IF(M237&lt;=2.8,HYPERLINK("http://www.lxhausys.co.kr/popup/rn/download/downloadPopup.jsp?from=plwindow&amp;uu=/upload/window/REPORT/LXH-EA25-007 F-130I-224FFGS1A5.pdf","5등급"),HYPERLINK("http://www.lxhausys.co.kr/popup/rn/download/downloadPopup.jsp?from=plwindow&amp;uu=/upload/window/REPORT/LXH-TW22-015 S-124-222FFGL1R240.pdf","등급외"))))))</f>
        <v>4등급</v>
      </c>
      <c r="M237" s="45">
        <v>1.93</v>
      </c>
      <c r="N237" s="45">
        <v>1.4</v>
      </c>
      <c r="O237" s="42"/>
      <c r="P237" s="42" t="s">
        <v>103</v>
      </c>
      <c r="Q237" s="42" t="s">
        <v>19</v>
      </c>
      <c r="R237" s="42" t="s">
        <v>19</v>
      </c>
      <c r="S237" s="42" t="s">
        <v>19</v>
      </c>
      <c r="T237" s="42" t="s">
        <v>19</v>
      </c>
      <c r="U237" s="42" t="s">
        <v>19</v>
      </c>
      <c r="V237" s="42" t="s">
        <v>19</v>
      </c>
      <c r="W237" s="42" t="s">
        <v>19</v>
      </c>
      <c r="X237" s="42" t="s">
        <v>75</v>
      </c>
    </row>
    <row r="238" spans="1:24">
      <c r="A238" s="42" t="s">
        <v>706</v>
      </c>
      <c r="B238" s="43" t="s">
        <v>1016</v>
      </c>
      <c r="C238" s="42" t="s">
        <v>1312</v>
      </c>
      <c r="D238" s="42" t="s">
        <v>20</v>
      </c>
      <c r="E238" s="43" t="s">
        <v>739</v>
      </c>
      <c r="F238" s="44" t="s">
        <v>759</v>
      </c>
      <c r="G238" s="43"/>
      <c r="H238" s="43"/>
      <c r="I238" s="43"/>
      <c r="J238" s="42" t="s">
        <v>1410</v>
      </c>
      <c r="K238" s="43" t="str">
        <f>VLOOKUP(C238,'[1]뷰프레임 전체_상세'!$B:$E,4,0)</f>
        <v>F-250I-444GGGS2A5</v>
      </c>
      <c r="L238" s="52" t="str">
        <f>IF(M238&lt;=0.9,HYPERLINK("http://www.lxhausys.co.kr/popup/rn/download/downloadPopup.jsp?from=plwindow&amp;uu=/upload/window/REPORT/LXH-EA25-008 F-250I-444GGGS2A5.pdf","1등급"),IF(M238&lt;=1.2,HYPERLINK("http://www.lxhausys.co.kr/popup/rn/download/downloadPopup.jsp?from=plwindow&amp;uu=/upload/window/REPORT/LXH-EA25-008 F-250I-444GGGS2A5.pdf","2등급"),IF(M238&lt;=1.8,HYPERLINK("http://www.lxhausys.co.kr/popup/rn/download/downloadPopup.jsp?from=plwindow&amp;uu=/upload/window/REPORT/LXH-EA25-008 F-250I-444GGGS2A5.pdf","3등급"),IF(M238&lt;=2.3,HYPERLINK("http://www.lxhausys.co.kr/popup/rn/download/downloadPopup.jsp?from=plwindow&amp;uu=/upload/window/REPORT/LXH-EA25-008 F-250I-444GGGS2A5.pdf","4등급"),IF(M238&lt;=2.8,HYPERLINK("http://www.lxhausys.co.kr/popup/rn/download/downloadPopup.jsp?from=plwindow&amp;uu=/upload/window/REPORT/LXH-EA25-008 F-250I-444GGGS2A5.pdf","5등급"),HYPERLINK("http://www.lxhausys.co.kr/popup/rn/download/downloadPopup.jsp?from=plwindow&amp;uu=/upload/window/REPORT/LXH-TW22-015 S-124-222FFGL1R241.pdf","등급외"))))))</f>
        <v>1등급</v>
      </c>
      <c r="M238" s="45">
        <v>0.9</v>
      </c>
      <c r="N238" s="45">
        <v>0.81</v>
      </c>
      <c r="O238" s="42"/>
      <c r="P238" s="42" t="s">
        <v>22</v>
      </c>
      <c r="Q238" s="42" t="s">
        <v>19</v>
      </c>
      <c r="R238" s="42" t="s">
        <v>19</v>
      </c>
      <c r="S238" s="42" t="s">
        <v>19</v>
      </c>
      <c r="T238" s="42" t="s">
        <v>19</v>
      </c>
      <c r="U238" s="42" t="s">
        <v>19</v>
      </c>
      <c r="V238" s="42" t="s">
        <v>19</v>
      </c>
      <c r="W238" s="42" t="s">
        <v>19</v>
      </c>
      <c r="X238" s="42" t="s">
        <v>75</v>
      </c>
    </row>
    <row r="239" spans="1:24">
      <c r="A239" s="42" t="s">
        <v>706</v>
      </c>
      <c r="B239" s="43" t="s">
        <v>1017</v>
      </c>
      <c r="C239" s="42" t="s">
        <v>1313</v>
      </c>
      <c r="D239" s="42" t="s">
        <v>20</v>
      </c>
      <c r="E239" s="43" t="s">
        <v>731</v>
      </c>
      <c r="F239" s="44" t="s">
        <v>755</v>
      </c>
      <c r="G239" s="43"/>
      <c r="H239" s="43"/>
      <c r="I239" s="43"/>
      <c r="J239" s="42" t="s">
        <v>1410</v>
      </c>
      <c r="K239" s="43" t="str">
        <f>VLOOKUP(C239,'[1]뷰프레임 전체_상세'!$B:$E,4,0)</f>
        <v>F-250I-466GGGS2A5</v>
      </c>
      <c r="L239" s="52" t="str">
        <f>IF(M239&lt;=0.9,HYPERLINK("http://www.lxhausys.co.kr/popup/rn/download/downloadPopup.jsp?from=plwindow&amp;uu=/upload/window/REPORT/LXH-EA25-009 F-250I-466GGGS2A5.pdf","1등급"),IF(M239&lt;=1.2,HYPERLINK("http://www.lxhausys.co.kr/popup/rn/download/downloadPopup.jsp?from=plwindow&amp;uu=/upload/window/REPORT/LXH-EA25-009 F-250I-466GGGS2A5.pdf","2등급"),IF(M239&lt;=1.8,HYPERLINK("http://www.lxhausys.co.kr/popup/rn/download/downloadPopup.jsp?from=plwindow&amp;uu=/upload/window/REPORT/LXH-EA25-009 F-250I-466GGGS2A5.pdf","3등급"),IF(M239&lt;=2.3,HYPERLINK("http://www.lxhausys.co.kr/popup/rn/download/downloadPopup.jsp?from=plwindow&amp;uu=/upload/window/REPORT/LXH-EA25-009 F-250I-466GGGS2A5.pdf","4등급"),IF(M239&lt;=2.8,HYPERLINK("http://www.lxhausys.co.kr/popup/rn/download/downloadPopup.jsp?from=plwindow&amp;uu=/upload/window/REPORT/LXH-EA25-009 F-250I-466GGGS2A5.pdf","5등급"),HYPERLINK("http://www.lxhausys.co.kr/popup/rn/download/downloadPopup.jsp?from=plwindow&amp;uu=/upload/window/REPORT/LXH-TW22-015 S-124-222FFGL1R242.pdf","등급외"))))))</f>
        <v>1등급</v>
      </c>
      <c r="M239" s="45">
        <v>0.88</v>
      </c>
      <c r="N239" s="45">
        <v>0.84</v>
      </c>
      <c r="O239" s="42"/>
      <c r="P239" s="42" t="s">
        <v>22</v>
      </c>
      <c r="Q239" s="42" t="s">
        <v>19</v>
      </c>
      <c r="R239" s="42" t="s">
        <v>19</v>
      </c>
      <c r="S239" s="42" t="s">
        <v>19</v>
      </c>
      <c r="T239" s="42" t="s">
        <v>19</v>
      </c>
      <c r="U239" s="42" t="s">
        <v>19</v>
      </c>
      <c r="V239" s="42" t="s">
        <v>19</v>
      </c>
      <c r="W239" s="42" t="s">
        <v>19</v>
      </c>
      <c r="X239" s="42" t="s">
        <v>75</v>
      </c>
    </row>
    <row r="240" spans="1:24">
      <c r="A240" s="42" t="s">
        <v>707</v>
      </c>
      <c r="B240" s="43" t="s">
        <v>1018</v>
      </c>
      <c r="C240" s="42" t="s">
        <v>1314</v>
      </c>
      <c r="D240" s="42" t="s">
        <v>20</v>
      </c>
      <c r="E240" s="43" t="s">
        <v>736</v>
      </c>
      <c r="F240" s="44" t="s">
        <v>749</v>
      </c>
      <c r="G240" s="43"/>
      <c r="H240" s="43"/>
      <c r="I240" s="43"/>
      <c r="J240" s="42" t="s">
        <v>1410</v>
      </c>
      <c r="K240" s="43" t="str">
        <f>VLOOKUP(C240,'[1]뷰프레임 전체_상세'!$B:$E,4,0)</f>
        <v>F-270I-444KGGG2A5</v>
      </c>
      <c r="L240" s="52" t="str">
        <f>IF(M240&lt;=0.9,HYPERLINK("http://www.lxhausys.co.kr/popup/rn/download/downloadPopup.jsp?from=plwindow&amp;uu=/upload/window/REPORT/LXH-EA25-010 F-270I-444KGGG2A5.pdf","1등급"),IF(M240&lt;=1.2,HYPERLINK("http://www.lxhausys.co.kr/popup/rn/download/downloadPopup.jsp?from=plwindow&amp;uu=/upload/window/REPORT/LXH-EA25-010 F-270I-444KGGG2A5.pdf","2등급"),IF(M240&lt;=1.8,HYPERLINK("http://www.lxhausys.co.kr/popup/rn/download/downloadPopup.jsp?from=plwindow&amp;uu=/upload/window/REPORT/LXH-EA25-010 F-270I-444KGGG2A5.pdf","3등급"),IF(M240&lt;=2.3,HYPERLINK("http://www.lxhausys.co.kr/popup/rn/download/downloadPopup.jsp?from=plwindow&amp;uu=/upload/window/REPORT/LXH-EA25-010 F-270I-444KGGG2A5.pdf","4등급"),IF(M240&lt;=2.8,HYPERLINK("http://www.lxhausys.co.kr/popup/rn/download/downloadPopup.jsp?from=plwindow&amp;uu=/upload/window/REPORT/LXH-EA25-010 F-270I-444KGGG2A5.pdf","5등급"),HYPERLINK("http://www.lxhausys.co.kr/popup/rn/download/downloadPopup.jsp?from=plwindow&amp;uu=/upload/window/REPORT/LXH-TW22-015 S-124-222FFGL1R243.pdf","등급외"))))))</f>
        <v>1등급</v>
      </c>
      <c r="M240" s="45">
        <v>0.9</v>
      </c>
      <c r="N240" s="45">
        <v>0.84</v>
      </c>
      <c r="O240" s="42"/>
      <c r="P240" s="42" t="s">
        <v>22</v>
      </c>
      <c r="Q240" s="42" t="s">
        <v>19</v>
      </c>
      <c r="R240" s="42" t="s">
        <v>19</v>
      </c>
      <c r="S240" s="42" t="s">
        <v>19</v>
      </c>
      <c r="T240" s="42" t="s">
        <v>19</v>
      </c>
      <c r="U240" s="42" t="s">
        <v>19</v>
      </c>
      <c r="V240" s="42" t="s">
        <v>19</v>
      </c>
      <c r="W240" s="42" t="s">
        <v>19</v>
      </c>
      <c r="X240" s="42" t="s">
        <v>75</v>
      </c>
    </row>
    <row r="241" spans="1:24">
      <c r="A241" s="42" t="s">
        <v>707</v>
      </c>
      <c r="B241" s="43" t="s">
        <v>1019</v>
      </c>
      <c r="C241" s="42" t="s">
        <v>1315</v>
      </c>
      <c r="D241" s="42" t="s">
        <v>20</v>
      </c>
      <c r="E241" s="43" t="s">
        <v>737</v>
      </c>
      <c r="F241" s="44" t="s">
        <v>749</v>
      </c>
      <c r="G241" s="43"/>
      <c r="H241" s="43"/>
      <c r="I241" s="43"/>
      <c r="J241" s="42" t="s">
        <v>1410</v>
      </c>
      <c r="K241" s="43" t="str">
        <f>VLOOKUP(C241,'[1]뷰프레임 전체_상세'!$B:$E,4,0)</f>
        <v>F-270I-444KGGG1R5</v>
      </c>
      <c r="L241" s="52" t="str">
        <f>IF(M241&lt;=0.9,HYPERLINK("http://www.lxhausys.co.kr/popup/rn/download/downloadPopup.jsp?from=plwindow&amp;uu=/upload/window/REPORT/LXH-EA25-011 F-270I-444KGGG1R5.pdf","1등급"),IF(M241&lt;=1.2,HYPERLINK("http://www.lxhausys.co.kr/popup/rn/download/downloadPopup.jsp?from=plwindow&amp;uu=/upload/window/REPORT/LXH-EA25-011 F-270I-444KGGG1R5.pdf","2등급"),IF(M241&lt;=1.8,HYPERLINK("http://www.lxhausys.co.kr/popup/rn/download/downloadPopup.jsp?from=plwindow&amp;uu=/upload/window/REPORT/LXH-EA25-011 F-270I-444KGGG1R5.pdf","3등급"),IF(M241&lt;=2.3,HYPERLINK("http://www.lxhausys.co.kr/popup/rn/download/downloadPopup.jsp?from=plwindow&amp;uu=/upload/window/REPORT/LXH-EA25-011 F-270I-444KGGG1R5.pdf","4등급"),IF(M241&lt;=2.8,HYPERLINK("http://www.lxhausys.co.kr/popup/rn/download/downloadPopup.jsp?from=plwindow&amp;uu=/upload/window/REPORT/LXH-EA25-011 F-270I-444KGGG1R5.pdf","5등급"),HYPERLINK("http://www.lxhausys.co.kr/popup/rn/download/downloadPopup.jsp?from=plwindow&amp;uu=/upload/window/REPORT/LXH-TW22-015 S-124-222FFGL1R244.pdf","등급외"))))))</f>
        <v>1등급</v>
      </c>
      <c r="M241" s="45">
        <v>0.81</v>
      </c>
      <c r="N241" s="45">
        <v>0.82</v>
      </c>
      <c r="O241" s="42"/>
      <c r="P241" s="42" t="s">
        <v>22</v>
      </c>
      <c r="Q241" s="42" t="s">
        <v>19</v>
      </c>
      <c r="R241" s="42" t="s">
        <v>19</v>
      </c>
      <c r="S241" s="42" t="s">
        <v>19</v>
      </c>
      <c r="T241" s="42" t="s">
        <v>19</v>
      </c>
      <c r="U241" s="42" t="s">
        <v>19</v>
      </c>
      <c r="V241" s="42" t="s">
        <v>19</v>
      </c>
      <c r="W241" s="42" t="s">
        <v>19</v>
      </c>
      <c r="X241" s="42" t="s">
        <v>75</v>
      </c>
    </row>
    <row r="242" spans="1:24">
      <c r="A242" s="42" t="s">
        <v>706</v>
      </c>
      <c r="B242" s="43" t="s">
        <v>1020</v>
      </c>
      <c r="C242" s="42" t="s">
        <v>1316</v>
      </c>
      <c r="D242" s="42" t="s">
        <v>20</v>
      </c>
      <c r="E242" s="43" t="s">
        <v>739</v>
      </c>
      <c r="F242" s="44" t="s">
        <v>749</v>
      </c>
      <c r="G242" s="43"/>
      <c r="H242" s="43"/>
      <c r="I242" s="43"/>
      <c r="J242" s="42" t="s">
        <v>1410</v>
      </c>
      <c r="K242" s="43" t="str">
        <f>VLOOKUP(C242,'[1]뷰프레임 전체_상세'!$B:$E,4,0)</f>
        <v>F-250I-444GGGG2A5</v>
      </c>
      <c r="L242" s="52" t="str">
        <f>IF(M242&lt;=0.9,HYPERLINK("http://www.lxhausys.co.kr/popup/rn/download/downloadPopup.jsp?from=plwindow&amp;uu=/upload/window/REPORT/LXH-EA25-012 F-250I-444GGGG2A5.pdf","1등급"),IF(M242&lt;=1.2,HYPERLINK("http://www.lxhausys.co.kr/popup/rn/download/downloadPopup.jsp?from=plwindow&amp;uu=/upload/window/REPORT/LXH-EA25-012 F-250I-444GGGG2A5.pdf","2등급"),IF(M242&lt;=1.8,HYPERLINK("http://www.lxhausys.co.kr/popup/rn/download/downloadPopup.jsp?from=plwindow&amp;uu=/upload/window/REPORT/LXH-EA25-012 F-250I-444GGGG2A5.pdf","3등급"),IF(M242&lt;=2.3,HYPERLINK("http://www.lxhausys.co.kr/popup/rn/download/downloadPopup.jsp?from=plwindow&amp;uu=/upload/window/REPORT/LXH-EA25-012 F-250I-444GGGG2A5.pdf","4등급"),IF(M242&lt;=2.8,HYPERLINK("http://www.lxhausys.co.kr/popup/rn/download/downloadPopup.jsp?from=plwindow&amp;uu=/upload/window/REPORT/LXH-EA25-012 F-250I-444GGGG2A5.pdf","5등급"),HYPERLINK("http://www.lxhausys.co.kr/popup/rn/download/downloadPopup.jsp?from=plwindow&amp;uu=/upload/window/REPORT/LXH-TW22-015 S-124-222FFGL1R245.pdf","등급외"))))))</f>
        <v>3등급</v>
      </c>
      <c r="M242" s="45">
        <v>1.21</v>
      </c>
      <c r="N242" s="45">
        <v>0.82</v>
      </c>
      <c r="O242" s="42"/>
      <c r="P242" s="42" t="s">
        <v>22</v>
      </c>
      <c r="Q242" s="42" t="s">
        <v>19</v>
      </c>
      <c r="R242" s="42" t="s">
        <v>19</v>
      </c>
      <c r="S242" s="42" t="s">
        <v>19</v>
      </c>
      <c r="T242" s="42" t="s">
        <v>19</v>
      </c>
      <c r="U242" s="42" t="s">
        <v>19</v>
      </c>
      <c r="V242" s="42" t="s">
        <v>19</v>
      </c>
      <c r="W242" s="42" t="s">
        <v>19</v>
      </c>
      <c r="X242" s="42" t="s">
        <v>75</v>
      </c>
    </row>
    <row r="243" spans="1:24">
      <c r="A243" s="42" t="s">
        <v>706</v>
      </c>
      <c r="B243" s="43" t="s">
        <v>1021</v>
      </c>
      <c r="C243" s="42" t="s">
        <v>1317</v>
      </c>
      <c r="D243" s="42" t="s">
        <v>20</v>
      </c>
      <c r="E243" s="43" t="s">
        <v>739</v>
      </c>
      <c r="F243" s="44" t="s">
        <v>760</v>
      </c>
      <c r="G243" s="43"/>
      <c r="H243" s="43"/>
      <c r="I243" s="43"/>
      <c r="J243" s="42" t="s">
        <v>1410</v>
      </c>
      <c r="K243" s="43" t="str">
        <f>VLOOKUP(C243,'[1]뷰프레임 전체_상세'!$B:$E,4,0)</f>
        <v>F-250I-444GGGS1R5</v>
      </c>
      <c r="L243" s="52" t="str">
        <f>IF(M243&lt;=0.9,HYPERLINK("http://www.lxhausys.co.kr/popup/rn/download/downloadPopup.jsp?from=plwindow&amp;uu=/upload/window/REPORT/LXH-EA25-013 F-250I-444GGGS1R5.pdf","1등급"),IF(M243&lt;=1.2,HYPERLINK("http://www.lxhausys.co.kr/popup/rn/download/downloadPopup.jsp?from=plwindow&amp;uu=/upload/window/REPORT/LXH-EA25-013 F-250I-444GGGS1R5.pdf","2등급"),IF(M243&lt;=1.8,HYPERLINK("http://www.lxhausys.co.kr/popup/rn/download/downloadPopup.jsp?from=plwindow&amp;uu=/upload/window/REPORT/LXH-EA25-013 F-250I-444GGGS1R5.pdf","3등급"),IF(M243&lt;=2.3,HYPERLINK("http://www.lxhausys.co.kr/popup/rn/download/downloadPopup.jsp?from=plwindow&amp;uu=/upload/window/REPORT/LXH-EA25-013 F-250I-444GGGS1R5.pdf","4등급"),IF(M243&lt;=2.8,HYPERLINK("http://www.lxhausys.co.kr/popup/rn/download/downloadPopup.jsp?from=plwindow&amp;uu=/upload/window/REPORT/LXH-EA25-013 F-250I-444GGGS1R5.pdf","5등급"),HYPERLINK("http://www.lxhausys.co.kr/popup/rn/download/downloadPopup.jsp?from=plwindow&amp;uu=/upload/window/REPORT/LXH-TW22-015 S-124-222FFGL1R246.pdf","등급외"))))))</f>
        <v>1등급</v>
      </c>
      <c r="M243" s="45">
        <v>0.81</v>
      </c>
      <c r="N243" s="45">
        <v>0.83</v>
      </c>
      <c r="O243" s="42"/>
      <c r="P243" s="42" t="s">
        <v>22</v>
      </c>
      <c r="Q243" s="42" t="s">
        <v>19</v>
      </c>
      <c r="R243" s="42" t="s">
        <v>19</v>
      </c>
      <c r="S243" s="42" t="s">
        <v>19</v>
      </c>
      <c r="T243" s="42" t="s">
        <v>19</v>
      </c>
      <c r="U243" s="42" t="s">
        <v>19</v>
      </c>
      <c r="V243" s="42" t="s">
        <v>19</v>
      </c>
      <c r="W243" s="42" t="s">
        <v>19</v>
      </c>
      <c r="X243" s="42" t="s">
        <v>75</v>
      </c>
    </row>
    <row r="244" spans="1:24">
      <c r="A244" s="42" t="s">
        <v>706</v>
      </c>
      <c r="B244" s="43" t="s">
        <v>1022</v>
      </c>
      <c r="C244" s="42" t="s">
        <v>1318</v>
      </c>
      <c r="D244" s="42" t="s">
        <v>20</v>
      </c>
      <c r="E244" s="43" t="s">
        <v>737</v>
      </c>
      <c r="F244" s="44" t="s">
        <v>749</v>
      </c>
      <c r="G244" s="43"/>
      <c r="H244" s="43"/>
      <c r="I244" s="43"/>
      <c r="J244" s="42" t="s">
        <v>1410</v>
      </c>
      <c r="K244" s="43" t="str">
        <f>VLOOKUP(C244,'[1]뷰프레임 전체_상세'!$B:$E,4,0)</f>
        <v>F-250I-444KGGG1R5</v>
      </c>
      <c r="L244" s="52" t="str">
        <f>IF(M244&lt;=0.9,HYPERLINK("http://www.lxhausys.co.kr/popup/rn/download/downloadPopup.jsp?from=plwindow&amp;uu=/upload/window/REPORT/LXH-EA25-014 F-250I-444KGGG1R5.pdf","1등급"),IF(M244&lt;=1.2,HYPERLINK("http://www.lxhausys.co.kr/popup/rn/download/downloadPopup.jsp?from=plwindow&amp;uu=/upload/window/REPORT/LXH-EA25-014 F-250I-444KGGG1R5.pdf","2등급"),IF(M244&lt;=1.8,HYPERLINK("http://www.lxhausys.co.kr/popup/rn/download/downloadPopup.jsp?from=plwindow&amp;uu=/upload/window/REPORT/LXH-EA25-014 F-250I-444KGGG1R5.pdf","3등급"),IF(M244&lt;=2.3,HYPERLINK("http://www.lxhausys.co.kr/popup/rn/download/downloadPopup.jsp?from=plwindow&amp;uu=/upload/window/REPORT/LXH-EA25-014 F-250I-444KGGG1R5.pdf","4등급"),IF(M244&lt;=2.8,HYPERLINK("http://www.lxhausys.co.kr/popup/rn/download/downloadPopup.jsp?from=plwindow&amp;uu=/upload/window/REPORT/LXH-EA25-014 F-250I-444KGGG1R5.pdf","5등급"),HYPERLINK("http://www.lxhausys.co.kr/popup/rn/download/downloadPopup.jsp?from=plwindow&amp;uu=/upload/window/REPORT/LXH-TW22-015 S-124-222FFGL1R247.pdf","등급외"))))))</f>
        <v>1등급</v>
      </c>
      <c r="M244" s="45">
        <v>0.8</v>
      </c>
      <c r="N244" s="45">
        <v>0.8</v>
      </c>
      <c r="O244" s="42"/>
      <c r="P244" s="42" t="s">
        <v>22</v>
      </c>
      <c r="Q244" s="42" t="s">
        <v>19</v>
      </c>
      <c r="R244" s="42" t="s">
        <v>19</v>
      </c>
      <c r="S244" s="42" t="s">
        <v>19</v>
      </c>
      <c r="T244" s="42" t="s">
        <v>19</v>
      </c>
      <c r="U244" s="42" t="s">
        <v>19</v>
      </c>
      <c r="V244" s="42" t="s">
        <v>19</v>
      </c>
      <c r="W244" s="42" t="s">
        <v>19</v>
      </c>
      <c r="X244" s="42" t="s">
        <v>75</v>
      </c>
    </row>
    <row r="245" spans="1:24">
      <c r="A245" s="42" t="s">
        <v>707</v>
      </c>
      <c r="B245" s="43" t="s">
        <v>1023</v>
      </c>
      <c r="C245" s="42" t="s">
        <v>1319</v>
      </c>
      <c r="D245" s="42" t="s">
        <v>20</v>
      </c>
      <c r="E245" s="43" t="s">
        <v>739</v>
      </c>
      <c r="F245" s="44" t="s">
        <v>749</v>
      </c>
      <c r="G245" s="43"/>
      <c r="H245" s="43"/>
      <c r="I245" s="43"/>
      <c r="J245" s="42" t="s">
        <v>1410</v>
      </c>
      <c r="K245" s="43" t="str">
        <f>VLOOKUP(C245,'[1]뷰프레임 전체_상세'!$B:$E,4,0)</f>
        <v>F-270I-444GGGG2A5</v>
      </c>
      <c r="L245" s="52" t="str">
        <f>IF(M245&lt;=0.9,HYPERLINK("http://www.lxhausys.co.kr/popup/rn/download/downloadPopup.jsp?from=plwindow&amp;uu=/upload/window/REPORT/LXH-EA25-015 F-270I-444GGGG2A5.pdf","1등급"),IF(M245&lt;=1.2,HYPERLINK("http://www.lxhausys.co.kr/popup/rn/download/downloadPopup.jsp?from=plwindow&amp;uu=/upload/window/REPORT/LXH-EA25-015 F-270I-444GGGG2A5.pdf","2등급"),IF(M245&lt;=1.8,HYPERLINK("http://www.lxhausys.co.kr/popup/rn/download/downloadPopup.jsp?from=plwindow&amp;uu=/upload/window/REPORT/LXH-EA25-015 F-270I-444GGGG2A5.pdf","3등급"),IF(M245&lt;=2.3,HYPERLINK("http://www.lxhausys.co.kr/popup/rn/download/downloadPopup.jsp?from=plwindow&amp;uu=/upload/window/REPORT/LXH-EA25-015 F-270I-444GGGG2A5.pdf","4등급"),IF(M245&lt;=2.8,HYPERLINK("http://www.lxhausys.co.kr/popup/rn/download/downloadPopup.jsp?from=plwindow&amp;uu=/upload/window/REPORT/LXH-EA25-015 F-270I-444GGGG2A5.pdf","5등급"),HYPERLINK("http://www.lxhausys.co.kr/popup/rn/download/downloadPopup.jsp?from=plwindow&amp;uu=/upload/window/REPORT/LXH-TW22-015 S-124-222FFGL1R248.pdf","등급외"))))))</f>
        <v>3등급</v>
      </c>
      <c r="M245" s="45">
        <v>1.21</v>
      </c>
      <c r="N245" s="45">
        <v>0.83</v>
      </c>
      <c r="O245" s="42"/>
      <c r="P245" s="42" t="s">
        <v>22</v>
      </c>
      <c r="Q245" s="42" t="s">
        <v>19</v>
      </c>
      <c r="R245" s="42" t="s">
        <v>19</v>
      </c>
      <c r="S245" s="42" t="s">
        <v>19</v>
      </c>
      <c r="T245" s="42" t="s">
        <v>19</v>
      </c>
      <c r="U245" s="42" t="s">
        <v>19</v>
      </c>
      <c r="V245" s="42" t="s">
        <v>19</v>
      </c>
      <c r="W245" s="42" t="s">
        <v>19</v>
      </c>
      <c r="X245" s="42" t="s">
        <v>75</v>
      </c>
    </row>
    <row r="246" spans="1:24">
      <c r="A246" s="42" t="s">
        <v>707</v>
      </c>
      <c r="B246" s="43" t="s">
        <v>1024</v>
      </c>
      <c r="C246" s="42" t="s">
        <v>1320</v>
      </c>
      <c r="D246" s="42" t="s">
        <v>20</v>
      </c>
      <c r="E246" s="43" t="s">
        <v>739</v>
      </c>
      <c r="F246" s="44" t="s">
        <v>759</v>
      </c>
      <c r="G246" s="43"/>
      <c r="H246" s="43"/>
      <c r="I246" s="43"/>
      <c r="J246" s="42" t="s">
        <v>1410</v>
      </c>
      <c r="K246" s="43" t="str">
        <f>VLOOKUP(C246,'[1]뷰프레임 전체_상세'!$B:$E,4,0)</f>
        <v>F-270I-444GGGS2A5</v>
      </c>
      <c r="L246" s="52" t="str">
        <f>IF(M246&lt;=0.9,HYPERLINK("http://www.lxhausys.co.kr/popup/rn/download/downloadPopup.jsp?from=plwindow&amp;uu=/upload/window/REPORT/LXH-EA25-016 F-270I-444GGGS2A5.pdf","1등급"),IF(M246&lt;=1.2,HYPERLINK("http://www.lxhausys.co.kr/popup/rn/download/downloadPopup.jsp?from=plwindow&amp;uu=/upload/window/REPORT/LXH-EA25-016 F-270I-444GGGS2A5.pdf","2등급"),IF(M246&lt;=1.8,HYPERLINK("http://www.lxhausys.co.kr/popup/rn/download/downloadPopup.jsp?from=plwindow&amp;uu=/upload/window/REPORT/LXH-EA25-016 F-270I-444GGGS2A5.pdf","3등급"),IF(M246&lt;=2.3,HYPERLINK("http://www.lxhausys.co.kr/popup/rn/download/downloadPopup.jsp?from=plwindow&amp;uu=/upload/window/REPORT/LXH-EA25-016 F-270I-444GGGS2A5.pdf","4등급"),IF(M246&lt;=2.8,HYPERLINK("http://www.lxhausys.co.kr/popup/rn/download/downloadPopup.jsp?from=plwindow&amp;uu=/upload/window/REPORT/LXH-EA25-016 F-270I-444GGGS2A5.pdf","5등급"),HYPERLINK("http://www.lxhausys.co.kr/popup/rn/download/downloadPopup.jsp?from=plwindow&amp;uu=/upload/window/REPORT/LXH-TW22-015 S-124-222FFGL1R249.pdf","등급외"))))))</f>
        <v>1등급</v>
      </c>
      <c r="M246" s="45">
        <v>0.9</v>
      </c>
      <c r="N246" s="45">
        <v>0.83</v>
      </c>
      <c r="O246" s="42"/>
      <c r="P246" s="42" t="s">
        <v>22</v>
      </c>
      <c r="Q246" s="42" t="s">
        <v>19</v>
      </c>
      <c r="R246" s="42" t="s">
        <v>19</v>
      </c>
      <c r="S246" s="42" t="s">
        <v>19</v>
      </c>
      <c r="T246" s="42" t="s">
        <v>19</v>
      </c>
      <c r="U246" s="42" t="s">
        <v>19</v>
      </c>
      <c r="V246" s="42" t="s">
        <v>19</v>
      </c>
      <c r="W246" s="42" t="s">
        <v>19</v>
      </c>
      <c r="X246" s="42" t="s">
        <v>75</v>
      </c>
    </row>
    <row r="247" spans="1:24">
      <c r="A247" s="42" t="s">
        <v>707</v>
      </c>
      <c r="B247" s="43" t="s">
        <v>1025</v>
      </c>
      <c r="C247" s="42" t="s">
        <v>1321</v>
      </c>
      <c r="D247" s="42" t="s">
        <v>20</v>
      </c>
      <c r="E247" s="43" t="s">
        <v>739</v>
      </c>
      <c r="F247" s="44" t="s">
        <v>760</v>
      </c>
      <c r="G247" s="43"/>
      <c r="H247" s="43"/>
      <c r="I247" s="43"/>
      <c r="J247" s="42" t="s">
        <v>1410</v>
      </c>
      <c r="K247" s="43" t="str">
        <f>VLOOKUP(C247,'[1]뷰프레임 전체_상세'!$B:$E,4,0)</f>
        <v>F-270I-444GGGS1R5</v>
      </c>
      <c r="L247" s="52" t="str">
        <f>IF(M247&lt;=0.9,HYPERLINK("http://www.lxhausys.co.kr/popup/rn/download/downloadPopup.jsp?from=plwindow&amp;uu=/upload/window/REPORT/LXH-EA25-017 F-270I-444GGGS1R5.pdf","1등급"),IF(M247&lt;=1.2,HYPERLINK("http://www.lxhausys.co.kr/popup/rn/download/downloadPopup.jsp?from=plwindow&amp;uu=/upload/window/REPORT/LXH-EA25-017 F-270I-444GGGS1R5.pdf","2등급"),IF(M247&lt;=1.8,HYPERLINK("http://www.lxhausys.co.kr/popup/rn/download/downloadPopup.jsp?from=plwindow&amp;uu=/upload/window/REPORT/LXH-EA25-017 F-270I-444GGGS1R5.pdf","3등급"),IF(M247&lt;=2.3,HYPERLINK("http://www.lxhausys.co.kr/popup/rn/download/downloadPopup.jsp?from=plwindow&amp;uu=/upload/window/REPORT/LXH-EA25-017 F-270I-444GGGS1R5.pdf","4등급"),IF(M247&lt;=2.8,HYPERLINK("http://www.lxhausys.co.kr/popup/rn/download/downloadPopup.jsp?from=plwindow&amp;uu=/upload/window/REPORT/LXH-EA25-017 F-270I-444GGGS1R5.pdf","5등급"),HYPERLINK("http://www.lxhausys.co.kr/popup/rn/download/downloadPopup.jsp?from=plwindow&amp;uu=/upload/window/REPORT/LXH-TW22-015 S-124-222FFGL1R250.pdf","등급외"))))))</f>
        <v>1등급</v>
      </c>
      <c r="M247" s="45">
        <v>0.81</v>
      </c>
      <c r="N247" s="45">
        <v>0.83</v>
      </c>
      <c r="O247" s="42"/>
      <c r="P247" s="42" t="s">
        <v>22</v>
      </c>
      <c r="Q247" s="42" t="s">
        <v>19</v>
      </c>
      <c r="R247" s="42" t="s">
        <v>19</v>
      </c>
      <c r="S247" s="42" t="s">
        <v>19</v>
      </c>
      <c r="T247" s="42" t="s">
        <v>19</v>
      </c>
      <c r="U247" s="42" t="s">
        <v>19</v>
      </c>
      <c r="V247" s="42" t="s">
        <v>19</v>
      </c>
      <c r="W247" s="42" t="s">
        <v>19</v>
      </c>
      <c r="X247" s="42" t="s">
        <v>75</v>
      </c>
    </row>
    <row r="248" spans="1:24">
      <c r="A248" s="42" t="s">
        <v>707</v>
      </c>
      <c r="B248" s="43" t="s">
        <v>1026</v>
      </c>
      <c r="C248" s="42" t="s">
        <v>1322</v>
      </c>
      <c r="D248" s="42" t="s">
        <v>20</v>
      </c>
      <c r="E248" s="43" t="s">
        <v>731</v>
      </c>
      <c r="F248" s="44" t="s">
        <v>755</v>
      </c>
      <c r="G248" s="43"/>
      <c r="H248" s="43"/>
      <c r="I248" s="43"/>
      <c r="J248" s="42" t="s">
        <v>1410</v>
      </c>
      <c r="K248" s="43" t="str">
        <f>VLOOKUP(C248,'[1]뷰프레임 전체_상세'!$B:$E,4,0)</f>
        <v>F-270I-466GGGS2A5</v>
      </c>
      <c r="L248" s="52" t="str">
        <f>IF(M248&lt;=0.9,HYPERLINK("http://www.lxhausys.co.kr/popup/rn/download/downloadPopup.jsp?from=plwindow&amp;uu=/upload/window/REPORT/LXH-EA25-018 F-270I-466GGGS2A5.pdf","1등급"),IF(M248&lt;=1.2,HYPERLINK("http://www.lxhausys.co.kr/popup/rn/download/downloadPopup.jsp?from=plwindow&amp;uu=/upload/window/REPORT/LXH-EA25-018 F-270I-466GGGS2A5.pdf","2등급"),IF(M248&lt;=1.8,HYPERLINK("http://www.lxhausys.co.kr/popup/rn/download/downloadPopup.jsp?from=plwindow&amp;uu=/upload/window/REPORT/LXH-EA25-018 F-270I-466GGGS2A5.pdf","3등급"),IF(M248&lt;=2.3,HYPERLINK("http://www.lxhausys.co.kr/popup/rn/download/downloadPopup.jsp?from=plwindow&amp;uu=/upload/window/REPORT/LXH-EA25-018 F-270I-466GGGS2A5.pdf","4등급"),IF(M248&lt;=2.8,HYPERLINK("http://www.lxhausys.co.kr/popup/rn/download/downloadPopup.jsp?from=plwindow&amp;uu=/upload/window/REPORT/LXH-EA25-018 F-270I-466GGGS2A5.pdf","5등급"),HYPERLINK("http://www.lxhausys.co.kr/popup/rn/download/downloadPopup.jsp?from=plwindow&amp;uu=/upload/window/REPORT/LXH-TW22-015 S-124-222FFGL1R251.pdf","등급외"))))))</f>
        <v>1등급</v>
      </c>
      <c r="M248" s="45">
        <v>0.89</v>
      </c>
      <c r="N248" s="45">
        <v>0.83</v>
      </c>
      <c r="O248" s="42"/>
      <c r="P248" s="42" t="s">
        <v>22</v>
      </c>
      <c r="Q248" s="42" t="s">
        <v>19</v>
      </c>
      <c r="R248" s="42" t="s">
        <v>19</v>
      </c>
      <c r="S248" s="42" t="s">
        <v>19</v>
      </c>
      <c r="T248" s="42" t="s">
        <v>19</v>
      </c>
      <c r="U248" s="42" t="s">
        <v>19</v>
      </c>
      <c r="V248" s="42" t="s">
        <v>19</v>
      </c>
      <c r="W248" s="42" t="s">
        <v>19</v>
      </c>
      <c r="X248" s="42" t="s">
        <v>75</v>
      </c>
    </row>
    <row r="249" spans="1:24">
      <c r="A249" s="42" t="s">
        <v>706</v>
      </c>
      <c r="B249" s="43" t="s">
        <v>1027</v>
      </c>
      <c r="C249" s="42" t="s">
        <v>1323</v>
      </c>
      <c r="D249" s="42" t="s">
        <v>20</v>
      </c>
      <c r="E249" s="43" t="s">
        <v>736</v>
      </c>
      <c r="F249" s="44" t="s">
        <v>749</v>
      </c>
      <c r="G249" s="43"/>
      <c r="H249" s="43"/>
      <c r="I249" s="43"/>
      <c r="J249" s="42" t="s">
        <v>1410</v>
      </c>
      <c r="K249" s="43" t="str">
        <f>VLOOKUP(C249,'[1]뷰프레임 전체_상세'!$B:$E,4,0)</f>
        <v>F-250I-444KGGG2A5</v>
      </c>
      <c r="L249" s="52" t="str">
        <f>IF(M249&lt;=0.9,HYPERLINK("http://www.lxhausys.co.kr/popup/rn/download/downloadPopup.jsp?from=plwindow&amp;uu=/upload/window/REPORT/LXH-EA25-019 F-250I-444KGGG2A5.pdf","1등급"),IF(M249&lt;=1.2,HYPERLINK("http://www.lxhausys.co.kr/popup/rn/download/downloadPopup.jsp?from=plwindow&amp;uu=/upload/window/REPORT/LXH-EA25-019 F-250I-444KGGG2A5.pdf","2등급"),IF(M249&lt;=1.8,HYPERLINK("http://www.lxhausys.co.kr/popup/rn/download/downloadPopup.jsp?from=plwindow&amp;uu=/upload/window/REPORT/LXH-EA25-019 F-250I-444KGGG2A5.pdf","3등급"),IF(M249&lt;=2.3,HYPERLINK("http://www.lxhausys.co.kr/popup/rn/download/downloadPopup.jsp?from=plwindow&amp;uu=/upload/window/REPORT/LXH-EA25-019 F-250I-444KGGG2A5.pdf","4등급"),IF(M249&lt;=2.8,HYPERLINK("http://www.lxhausys.co.kr/popup/rn/download/downloadPopup.jsp?from=plwindow&amp;uu=/upload/window/REPORT/LXH-EA25-019 F-250I-444KGGG2A5.pdf","5등급"),HYPERLINK("http://www.lxhausys.co.kr/popup/rn/download/downloadPopup.jsp?from=plwindow&amp;uu=/upload/window/REPORT/LXH-TW22-015 S-124-222FFGL1R252.pdf","등급외"))))))</f>
        <v>1등급</v>
      </c>
      <c r="M249" s="45">
        <v>0.89</v>
      </c>
      <c r="N249" s="45">
        <v>0.85</v>
      </c>
      <c r="O249" s="42"/>
      <c r="P249" s="42" t="s">
        <v>22</v>
      </c>
      <c r="Q249" s="42" t="s">
        <v>19</v>
      </c>
      <c r="R249" s="42" t="s">
        <v>19</v>
      </c>
      <c r="S249" s="42" t="s">
        <v>19</v>
      </c>
      <c r="T249" s="42" t="s">
        <v>19</v>
      </c>
      <c r="U249" s="42" t="s">
        <v>19</v>
      </c>
      <c r="V249" s="42" t="s">
        <v>19</v>
      </c>
      <c r="W249" s="42" t="s">
        <v>19</v>
      </c>
      <c r="X249" s="42" t="s">
        <v>75</v>
      </c>
    </row>
    <row r="250" spans="1:24">
      <c r="A250" s="42" t="s">
        <v>708</v>
      </c>
      <c r="B250" s="43" t="s">
        <v>1028</v>
      </c>
      <c r="C250" s="42" t="s">
        <v>1324</v>
      </c>
      <c r="D250" s="42" t="s">
        <v>20</v>
      </c>
      <c r="E250" s="43" t="s">
        <v>722</v>
      </c>
      <c r="F250" s="44"/>
      <c r="G250" s="43"/>
      <c r="H250" s="43"/>
      <c r="I250" s="43"/>
      <c r="J250" s="42" t="s">
        <v>1410</v>
      </c>
      <c r="K250" s="43" t="str">
        <f>VLOOKUP(C250,'[1]뷰프레임 전체_상세'!$B:$E,4,0)</f>
        <v>F-130I-224FFKG1A5</v>
      </c>
      <c r="L250" s="52" t="str">
        <f>IF(M250&lt;=0.9,HYPERLINK("http://www.lxhausys.co.kr/popup/rn/download/downloadPopup.jsp?from=plwindow&amp;uu=/upload/window/REPORT/LXH-EA25-020 F-130I-224FFKG1A5.pdf","1등급"),IF(M250&lt;=1.2,HYPERLINK("http://www.lxhausys.co.kr/popup/rn/download/downloadPopup.jsp?from=plwindow&amp;uu=/upload/window/REPORT/LXH-EA25-020 F-130I-224FFKG1A5.pdf","2등급"),IF(M250&lt;=1.8,HYPERLINK("http://www.lxhausys.co.kr/popup/rn/download/downloadPopup.jsp?from=plwindow&amp;uu=/upload/window/REPORT/LXH-EA25-020 F-130I-224FFKG1A5.pdf","3등급"),IF(M250&lt;=2.3,HYPERLINK("http://www.lxhausys.co.kr/popup/rn/download/downloadPopup.jsp?from=plwindow&amp;uu=/upload/window/REPORT/LXH-EA25-020 F-130I-224FFKG1A5.pdf","4등급"),IF(M250&lt;=2.8,HYPERLINK("http://www.lxhausys.co.kr/popup/rn/download/downloadPopup.jsp?from=plwindow&amp;uu=/upload/window/REPORT/LXH-EA25-020 F-130I-224FFKG1A5.pdf","5등급"),HYPERLINK("http://www.lxhausys.co.kr/popup/rn/download/downloadPopup.jsp?from=plwindow&amp;uu=/upload/window/REPORT/LXH-TW22-015 S-124-222FFGL1R253.pdf","등급외"))))))</f>
        <v>4등급</v>
      </c>
      <c r="M250" s="45">
        <v>1.87</v>
      </c>
      <c r="N250" s="45">
        <v>1.32</v>
      </c>
      <c r="O250" s="42"/>
      <c r="P250" s="42" t="s">
        <v>103</v>
      </c>
      <c r="Q250" s="42" t="s">
        <v>19</v>
      </c>
      <c r="R250" s="42" t="s">
        <v>19</v>
      </c>
      <c r="S250" s="42" t="s">
        <v>19</v>
      </c>
      <c r="T250" s="42" t="s">
        <v>19</v>
      </c>
      <c r="U250" s="42" t="s">
        <v>19</v>
      </c>
      <c r="V250" s="42" t="s">
        <v>19</v>
      </c>
      <c r="W250" s="42" t="s">
        <v>19</v>
      </c>
      <c r="X250" s="42" t="s">
        <v>75</v>
      </c>
    </row>
    <row r="251" spans="1:24">
      <c r="A251" s="42" t="s">
        <v>708</v>
      </c>
      <c r="B251" s="43" t="s">
        <v>1029</v>
      </c>
      <c r="C251" s="42" t="s">
        <v>1325</v>
      </c>
      <c r="D251" s="42" t="s">
        <v>20</v>
      </c>
      <c r="E251" s="43" t="s">
        <v>723</v>
      </c>
      <c r="F251" s="44"/>
      <c r="G251" s="43"/>
      <c r="H251" s="43"/>
      <c r="I251" s="43"/>
      <c r="J251" s="42" t="s">
        <v>1410</v>
      </c>
      <c r="K251" s="43" t="str">
        <f>VLOOKUP(C251,'[1]뷰프레임 전체_상세'!$B:$E,4,0)</f>
        <v>F-130I-228FFGG1A5</v>
      </c>
      <c r="L251" s="52" t="str">
        <f>IF(M251&lt;=0.9,HYPERLINK("http://www.lxhausys.co.kr/popup/rn/download/downloadPopup.jsp?from=plwindow&amp;uu=/upload/window/REPORT/LXH-EA25-022 F-130I-228FFGG1A5.pdf","1등급"),IF(M251&lt;=1.2,HYPERLINK("http://www.lxhausys.co.kr/popup/rn/download/downloadPopup.jsp?from=plwindow&amp;uu=/upload/window/REPORT/LXH-EA25-022 F-130I-228FFGG1A5.pdf","2등급"),IF(M251&lt;=1.8,HYPERLINK("http://www.lxhausys.co.kr/popup/rn/download/downloadPopup.jsp?from=plwindow&amp;uu=/upload/window/REPORT/LXH-EA25-022 F-130I-228FFGG1A5.pdf","3등급"),IF(M251&lt;=2.3,HYPERLINK("http://www.lxhausys.co.kr/popup/rn/download/downloadPopup.jsp?from=plwindow&amp;uu=/upload/window/REPORT/LXH-EA25-022 F-130I-228FFGG1A5.pdf","4등급"),IF(M251&lt;=2.8,HYPERLINK("http://www.lxhausys.co.kr/popup/rn/download/downloadPopup.jsp?from=plwindow&amp;uu=/upload/window/REPORT/LXH-EA25-022 F-130I-228FFGG1A5.pdf","5등급"),HYPERLINK("http://www.lxhausys.co.kr/popup/rn/download/downloadPopup.jsp?from=plwindow&amp;uu=/upload/window/REPORT/LXH-TW22-015 S-124-222FFGL1R254.pdf","등급외"))))))</f>
        <v>5등급</v>
      </c>
      <c r="M251" s="45">
        <v>2.7349999999999999</v>
      </c>
      <c r="N251" s="45">
        <v>1.43</v>
      </c>
      <c r="O251" s="42"/>
      <c r="P251" s="42" t="s">
        <v>103</v>
      </c>
      <c r="Q251" s="42" t="s">
        <v>19</v>
      </c>
      <c r="R251" s="42" t="s">
        <v>19</v>
      </c>
      <c r="S251" s="42" t="s">
        <v>19</v>
      </c>
      <c r="T251" s="42" t="s">
        <v>19</v>
      </c>
      <c r="U251" s="42" t="s">
        <v>19</v>
      </c>
      <c r="V251" s="42" t="s">
        <v>19</v>
      </c>
      <c r="W251" s="42" t="s">
        <v>19</v>
      </c>
      <c r="X251" s="42" t="s">
        <v>75</v>
      </c>
    </row>
    <row r="252" spans="1:24">
      <c r="A252" s="42" t="s">
        <v>708</v>
      </c>
      <c r="B252" s="43" t="s">
        <v>1030</v>
      </c>
      <c r="C252" s="42" t="s">
        <v>1326</v>
      </c>
      <c r="D252" s="42" t="s">
        <v>20</v>
      </c>
      <c r="E252" s="43" t="s">
        <v>724</v>
      </c>
      <c r="F252" s="44"/>
      <c r="G252" s="43"/>
      <c r="H252" s="43"/>
      <c r="I252" s="43"/>
      <c r="J252" s="42" t="s">
        <v>1410</v>
      </c>
      <c r="K252" s="43" t="str">
        <f>VLOOKUP(C252,'[1]뷰프레임 전체_상세'!$B:$E,4,0)</f>
        <v>F-130I-228FFGS1A5</v>
      </c>
      <c r="L252" s="52" t="str">
        <f>IF(M252&lt;=0.9,HYPERLINK("http://www.lxhausys.co.kr/popup/rn/download/downloadPopup.jsp?from=plwindow&amp;uu=/upload/window/REPORT/LXH-EA25-023 F-130I-228FFGS1A5.pdf","1등급"),IF(M252&lt;=1.2,HYPERLINK("http://www.lxhausys.co.kr/popup/rn/download/downloadPopup.jsp?from=plwindow&amp;uu=/upload/window/REPORT/LXH-EA25-023 F-130I-228FFGS1A5.pdf","2등급"),IF(M252&lt;=1.8,HYPERLINK("http://www.lxhausys.co.kr/popup/rn/download/downloadPopup.jsp?from=plwindow&amp;uu=/upload/window/REPORT/LXH-EA25-023 F-130I-228FFGS1A5.pdf","3등급"),IF(M252&lt;=2.3,HYPERLINK("http://www.lxhausys.co.kr/popup/rn/download/downloadPopup.jsp?from=plwindow&amp;uu=/upload/window/REPORT/LXH-EA25-023 F-130I-228FFGS1A5.pdf","4등급"),IF(M252&lt;=2.8,HYPERLINK("http://www.lxhausys.co.kr/popup/rn/download/downloadPopup.jsp?from=plwindow&amp;uu=/upload/window/REPORT/LXH-EA25-023 F-130I-228FFGS1A5.pdf","5등급"),HYPERLINK("http://www.lxhausys.co.kr/popup/rn/download/downloadPopup.jsp?from=plwindow&amp;uu=/upload/window/REPORT/LXH-TW22-015 S-124-222FFGL1R255.pdf","등급외"))))))</f>
        <v>4등급</v>
      </c>
      <c r="M252" s="45">
        <v>1.869</v>
      </c>
      <c r="N252" s="45">
        <v>1.43</v>
      </c>
      <c r="O252" s="42"/>
      <c r="P252" s="42" t="s">
        <v>103</v>
      </c>
      <c r="Q252" s="42" t="s">
        <v>19</v>
      </c>
      <c r="R252" s="42" t="s">
        <v>19</v>
      </c>
      <c r="S252" s="42" t="s">
        <v>19</v>
      </c>
      <c r="T252" s="42" t="s">
        <v>19</v>
      </c>
      <c r="U252" s="42" t="s">
        <v>19</v>
      </c>
      <c r="V252" s="42" t="s">
        <v>19</v>
      </c>
      <c r="W252" s="42" t="s">
        <v>19</v>
      </c>
      <c r="X252" s="42" t="s">
        <v>75</v>
      </c>
    </row>
    <row r="253" spans="1:24">
      <c r="A253" s="42" t="s">
        <v>708</v>
      </c>
      <c r="B253" s="43" t="s">
        <v>1031</v>
      </c>
      <c r="C253" s="42" t="s">
        <v>1327</v>
      </c>
      <c r="D253" s="42" t="s">
        <v>20</v>
      </c>
      <c r="E253" s="43" t="s">
        <v>725</v>
      </c>
      <c r="F253" s="44"/>
      <c r="G253" s="43"/>
      <c r="H253" s="43"/>
      <c r="I253" s="43"/>
      <c r="J253" s="42" t="s">
        <v>1410</v>
      </c>
      <c r="K253" s="43" t="str">
        <f>VLOOKUP(C253,'[1]뷰프레임 전체_상세'!$B:$E,4,0)</f>
        <v>F-130I-228FFKG1R5</v>
      </c>
      <c r="L253" s="52" t="str">
        <f>IF(M253&lt;=0.9,HYPERLINK("http://www.lxhausys.co.kr/popup/rn/download/downloadPopup.jsp?from=plwindow&amp;uu=/upload/window/REPORT/LXH-EA25-024 F-130I-228FFKG1R5.pdf","1등급"),IF(M253&lt;=1.2,HYPERLINK("http://www.lxhausys.co.kr/popup/rn/download/downloadPopup.jsp?from=plwindow&amp;uu=/upload/window/REPORT/LXH-EA25-024 F-130I-228FFKG1R5.pdf","2등급"),IF(M253&lt;=1.8,HYPERLINK("http://www.lxhausys.co.kr/popup/rn/download/downloadPopup.jsp?from=plwindow&amp;uu=/upload/window/REPORT/LXH-EA25-024 F-130I-228FFKG1R5.pdf","3등급"),IF(M253&lt;=2.3,HYPERLINK("http://www.lxhausys.co.kr/popup/rn/download/downloadPopup.jsp?from=plwindow&amp;uu=/upload/window/REPORT/LXH-EA25-024 F-130I-228FFKG1R5.pdf","4등급"),IF(M253&lt;=2.8,HYPERLINK("http://www.lxhausys.co.kr/popup/rn/download/downloadPopup.jsp?from=plwindow&amp;uu=/upload/window/REPORT/LXH-EA25-024 F-130I-228FFKG1R5.pdf","5등급"),HYPERLINK("http://www.lxhausys.co.kr/popup/rn/download/downloadPopup.jsp?from=plwindow&amp;uu=/upload/window/REPORT/LXH-TW22-015 S-124-222FFGL1R256.pdf","등급외"))))))</f>
        <v>3등급</v>
      </c>
      <c r="M253" s="45">
        <v>1.591</v>
      </c>
      <c r="N253" s="45">
        <v>1.48</v>
      </c>
      <c r="O253" s="42"/>
      <c r="P253" s="42" t="s">
        <v>103</v>
      </c>
      <c r="Q253" s="42" t="s">
        <v>19</v>
      </c>
      <c r="R253" s="42" t="s">
        <v>19</v>
      </c>
      <c r="S253" s="42" t="s">
        <v>19</v>
      </c>
      <c r="T253" s="42" t="s">
        <v>19</v>
      </c>
      <c r="U253" s="42" t="s">
        <v>19</v>
      </c>
      <c r="V253" s="42" t="s">
        <v>19</v>
      </c>
      <c r="W253" s="42" t="s">
        <v>19</v>
      </c>
      <c r="X253" s="42" t="s">
        <v>75</v>
      </c>
    </row>
    <row r="254" spans="1:24">
      <c r="A254" s="42" t="s">
        <v>706</v>
      </c>
      <c r="B254" s="43" t="s">
        <v>1032</v>
      </c>
      <c r="C254" s="42" t="s">
        <v>1328</v>
      </c>
      <c r="D254" s="42" t="s">
        <v>20</v>
      </c>
      <c r="E254" s="43" t="s">
        <v>731</v>
      </c>
      <c r="F254" s="44" t="s">
        <v>754</v>
      </c>
      <c r="G254" s="43"/>
      <c r="H254" s="43"/>
      <c r="I254" s="43"/>
      <c r="J254" s="42" t="s">
        <v>1410</v>
      </c>
      <c r="K254" s="43" t="str">
        <f>VLOOKUP(C254,'[1]뷰프레임 전체_상세'!$B:$E,4,0)</f>
        <v>F-250I-466GGGS1R5</v>
      </c>
      <c r="L254" s="52" t="str">
        <f>IF(M254&lt;=0.9,HYPERLINK("http://www.lxhausys.co.kr/popup/rn/download/downloadPopup.jsp?from=plwindow&amp;uu=/upload/window/REPORT/LXH-EA25-025 F-250I-466GGGS1R5.pdf","1등급"),IF(M254&lt;=1.2,HYPERLINK("http://www.lxhausys.co.kr/popup/rn/download/downloadPopup.jsp?from=plwindow&amp;uu=/upload/window/REPORT/LXH-EA25-025 F-250I-466GGGS1R5.pdf","2등급"),IF(M254&lt;=1.8,HYPERLINK("http://www.lxhausys.co.kr/popup/rn/download/downloadPopup.jsp?from=plwindow&amp;uu=/upload/window/REPORT/LXH-EA25-025 F-250I-466GGGS1R5.pdf","3등급"),IF(M254&lt;=2.3,HYPERLINK("http://www.lxhausys.co.kr/popup/rn/download/downloadPopup.jsp?from=plwindow&amp;uu=/upload/window/REPORT/LXH-EA25-025 F-250I-466GGGS1R5.pdf","4등급"),IF(M254&lt;=2.8,HYPERLINK("http://www.lxhausys.co.kr/popup/rn/download/downloadPopup.jsp?from=plwindow&amp;uu=/upload/window/REPORT/LXH-EA25-025 F-250I-466GGGS1R5.pdf","5등급"),HYPERLINK("http://www.lxhausys.co.kr/popup/rn/download/downloadPopup.jsp?from=plwindow&amp;uu=/upload/window/REPORT/LXH-TW22-015 S-124-222FFGL1R257.pdf","등급외"))))))</f>
        <v>1등급</v>
      </c>
      <c r="M254" s="45">
        <v>0.80300000000000005</v>
      </c>
      <c r="N254" s="45">
        <v>0.83</v>
      </c>
      <c r="O254" s="42"/>
      <c r="P254" s="42" t="s">
        <v>22</v>
      </c>
      <c r="Q254" s="42" t="s">
        <v>19</v>
      </c>
      <c r="R254" s="42" t="s">
        <v>19</v>
      </c>
      <c r="S254" s="42" t="s">
        <v>19</v>
      </c>
      <c r="T254" s="42" t="s">
        <v>19</v>
      </c>
      <c r="U254" s="42" t="s">
        <v>19</v>
      </c>
      <c r="V254" s="42" t="s">
        <v>19</v>
      </c>
      <c r="W254" s="42" t="s">
        <v>19</v>
      </c>
      <c r="X254" s="42" t="s">
        <v>75</v>
      </c>
    </row>
    <row r="255" spans="1:24">
      <c r="A255" s="42" t="s">
        <v>706</v>
      </c>
      <c r="B255" s="43" t="s">
        <v>1033</v>
      </c>
      <c r="C255" s="42" t="s">
        <v>1329</v>
      </c>
      <c r="D255" s="42" t="s">
        <v>20</v>
      </c>
      <c r="E255" s="43" t="s">
        <v>732</v>
      </c>
      <c r="F255" s="44" t="s">
        <v>743</v>
      </c>
      <c r="G255" s="43"/>
      <c r="H255" s="43"/>
      <c r="I255" s="43"/>
      <c r="J255" s="42" t="s">
        <v>1410</v>
      </c>
      <c r="K255" s="43" t="str">
        <f>VLOOKUP(C255,'[1]뷰프레임 전체_상세'!$B:$E,4,0)</f>
        <v>F-250I-466KGGG1R5</v>
      </c>
      <c r="L255" s="52" t="str">
        <f>IF(M255&lt;=0.9,HYPERLINK("http://www.lxhausys.co.kr/popup/rn/download/downloadPopup.jsp?from=plwindow&amp;uu=/upload/window/REPORT/LXH-EA25-026 F-250I-466KGGG1R5.pdf","1등급"),IF(M255&lt;=1.2,HYPERLINK("http://www.lxhausys.co.kr/popup/rn/download/downloadPopup.jsp?from=plwindow&amp;uu=/upload/window/REPORT/LXH-EA25-026 F-250I-466KGGG1R5.pdf","2등급"),IF(M255&lt;=1.8,HYPERLINK("http://www.lxhausys.co.kr/popup/rn/download/downloadPopup.jsp?from=plwindow&amp;uu=/upload/window/REPORT/LXH-EA25-026 F-250I-466KGGG1R5.pdf","3등급"),IF(M255&lt;=2.3,HYPERLINK("http://www.lxhausys.co.kr/popup/rn/download/downloadPopup.jsp?from=plwindow&amp;uu=/upload/window/REPORT/LXH-EA25-026 F-250I-466KGGG1R5.pdf","4등급"),IF(M255&lt;=2.8,HYPERLINK("http://www.lxhausys.co.kr/popup/rn/download/downloadPopup.jsp?from=plwindow&amp;uu=/upload/window/REPORT/LXH-EA25-026 F-250I-466KGGG1R5.pdf","5등급"),HYPERLINK("http://www.lxhausys.co.kr/popup/rn/download/downloadPopup.jsp?from=plwindow&amp;uu=/upload/window/REPORT/LXH-TW22-015 S-124-222FFGL1R258.pdf","등급외"))))))</f>
        <v>1등급</v>
      </c>
      <c r="M255" s="45">
        <v>0.78600000000000003</v>
      </c>
      <c r="N255" s="45">
        <v>0.79</v>
      </c>
      <c r="O255" s="42"/>
      <c r="P255" s="42" t="s">
        <v>22</v>
      </c>
      <c r="Q255" s="42" t="s">
        <v>19</v>
      </c>
      <c r="R255" s="42" t="s">
        <v>19</v>
      </c>
      <c r="S255" s="42" t="s">
        <v>19</v>
      </c>
      <c r="T255" s="42" t="s">
        <v>19</v>
      </c>
      <c r="U255" s="42" t="s">
        <v>19</v>
      </c>
      <c r="V255" s="42" t="s">
        <v>19</v>
      </c>
      <c r="W255" s="42" t="s">
        <v>19</v>
      </c>
      <c r="X255" s="42" t="s">
        <v>75</v>
      </c>
    </row>
    <row r="256" spans="1:24">
      <c r="A256" s="42" t="s">
        <v>708</v>
      </c>
      <c r="B256" s="43" t="s">
        <v>1034</v>
      </c>
      <c r="C256" s="42" t="s">
        <v>1330</v>
      </c>
      <c r="D256" s="42" t="s">
        <v>20</v>
      </c>
      <c r="E256" s="43" t="s">
        <v>726</v>
      </c>
      <c r="F256" s="44"/>
      <c r="G256" s="43"/>
      <c r="H256" s="43"/>
      <c r="I256" s="43"/>
      <c r="J256" s="42" t="s">
        <v>1410</v>
      </c>
      <c r="K256" s="43" t="str">
        <f>VLOOKUP(C256,'[1]뷰프레임 전체_상세'!$B:$E,4,0)</f>
        <v>F-130I-228FFKG1A5</v>
      </c>
      <c r="L256" s="52" t="str">
        <f>IF(M256&lt;=0.9,HYPERLINK("http://www.lxhausys.co.kr/popup/rn/download/downloadPopup.jsp?from=plwindow&amp;uu=/upload/window/REPORT/LXH-EA25-027 F-130I-228FFKG1A5.pdf","1등급"),IF(M256&lt;=1.2,HYPERLINK("http://www.lxhausys.co.kr/popup/rn/download/downloadPopup.jsp?from=plwindow&amp;uu=/upload/window/REPORT/LXH-EA25-027 F-130I-228FFKG1A5.pdf","2등급"),IF(M256&lt;=1.8,HYPERLINK("http://www.lxhausys.co.kr/popup/rn/download/downloadPopup.jsp?from=plwindow&amp;uu=/upload/window/REPORT/LXH-EA25-027 F-130I-228FFKG1A5.pdf","3등급"),IF(M256&lt;=2.3,HYPERLINK("http://www.lxhausys.co.kr/popup/rn/download/downloadPopup.jsp?from=plwindow&amp;uu=/upload/window/REPORT/LXH-EA25-027 F-130I-228FFKG1A5.pdf","4등급"),IF(M256&lt;=2.8,HYPERLINK("http://www.lxhausys.co.kr/popup/rn/download/downloadPopup.jsp?from=plwindow&amp;uu=/upload/window/REPORT/LXH-EA25-027 F-130I-228FFKG1A5.pdf","5등급"),HYPERLINK("http://www.lxhausys.co.kr/popup/rn/download/downloadPopup.jsp?from=plwindow&amp;uu=/upload/window/REPORT/LXH-TW22-015 S-124-222FFGL1R259.pdf","등급외"))))))</f>
        <v>4등급</v>
      </c>
      <c r="M256" s="45">
        <v>1.804</v>
      </c>
      <c r="N256" s="45">
        <v>1.5</v>
      </c>
      <c r="O256" s="42"/>
      <c r="P256" s="42" t="s">
        <v>103</v>
      </c>
      <c r="Q256" s="42" t="s">
        <v>19</v>
      </c>
      <c r="R256" s="42" t="s">
        <v>19</v>
      </c>
      <c r="S256" s="42" t="s">
        <v>19</v>
      </c>
      <c r="T256" s="42" t="s">
        <v>19</v>
      </c>
      <c r="U256" s="42" t="s">
        <v>19</v>
      </c>
      <c r="V256" s="42" t="s">
        <v>19</v>
      </c>
      <c r="W256" s="42" t="s">
        <v>19</v>
      </c>
      <c r="X256" s="42" t="s">
        <v>75</v>
      </c>
    </row>
    <row r="257" spans="1:24">
      <c r="A257" s="42" t="s">
        <v>708</v>
      </c>
      <c r="B257" s="43" t="s">
        <v>1035</v>
      </c>
      <c r="C257" s="42" t="s">
        <v>1331</v>
      </c>
      <c r="D257" s="42" t="s">
        <v>20</v>
      </c>
      <c r="E257" s="43" t="s">
        <v>727</v>
      </c>
      <c r="F257" s="44"/>
      <c r="G257" s="43"/>
      <c r="H257" s="43"/>
      <c r="I257" s="43"/>
      <c r="J257" s="42" t="s">
        <v>1410</v>
      </c>
      <c r="K257" s="43" t="str">
        <f>VLOOKUP(C257,'[1]뷰프레임 전체_상세'!$B:$E,4,0)</f>
        <v>F-130I-228FFGS1R5</v>
      </c>
      <c r="L257" s="52" t="str">
        <f>IF(M257&lt;=0.9,HYPERLINK("http://www.lxhausys.co.kr/popup/rn/download/downloadPopup.jsp?from=plwindow&amp;uu=/upload/window/REPORT/LXH-EA25-028 F-130I-228FFGS1R5.pdf","1등급"),IF(M257&lt;=1.2,HYPERLINK("http://www.lxhausys.co.kr/popup/rn/download/downloadPopup.jsp?from=plwindow&amp;uu=/upload/window/REPORT/LXH-EA25-028 F-130I-228FFGS1R5.pdf","2등급"),IF(M257&lt;=1.8,HYPERLINK("http://www.lxhausys.co.kr/popup/rn/download/downloadPopup.jsp?from=plwindow&amp;uu=/upload/window/REPORT/LXH-EA25-028 F-130I-228FFGS1R5.pdf","3등급"),IF(M257&lt;=2.3,HYPERLINK("http://www.lxhausys.co.kr/popup/rn/download/downloadPopup.jsp?from=plwindow&amp;uu=/upload/window/REPORT/LXH-EA25-028 F-130I-228FFGS1R5.pdf","4등급"),IF(M257&lt;=2.8,HYPERLINK("http://www.lxhausys.co.kr/popup/rn/download/downloadPopup.jsp?from=plwindow&amp;uu=/upload/window/REPORT/LXH-EA25-028 F-130I-228FFGS1R5.pdf","5등급"),HYPERLINK("http://www.lxhausys.co.kr/popup/rn/download/downloadPopup.jsp?from=plwindow&amp;uu=/upload/window/REPORT/LXH-TW22-015 S-124-222FFGL1R260.pdf","등급외"))))))</f>
        <v>3등급</v>
      </c>
      <c r="M257" s="45">
        <v>1.679</v>
      </c>
      <c r="N257" s="45">
        <v>1.42</v>
      </c>
      <c r="O257" s="42"/>
      <c r="P257" s="42" t="s">
        <v>103</v>
      </c>
      <c r="Q257" s="42" t="s">
        <v>19</v>
      </c>
      <c r="R257" s="42" t="s">
        <v>19</v>
      </c>
      <c r="S257" s="42" t="s">
        <v>19</v>
      </c>
      <c r="T257" s="42" t="s">
        <v>19</v>
      </c>
      <c r="U257" s="42" t="s">
        <v>19</v>
      </c>
      <c r="V257" s="42" t="s">
        <v>19</v>
      </c>
      <c r="W257" s="42" t="s">
        <v>19</v>
      </c>
      <c r="X257" s="42" t="s">
        <v>75</v>
      </c>
    </row>
    <row r="258" spans="1:24">
      <c r="A258" s="42" t="s">
        <v>707</v>
      </c>
      <c r="B258" s="43" t="s">
        <v>1036</v>
      </c>
      <c r="C258" s="42" t="s">
        <v>1332</v>
      </c>
      <c r="D258" s="42" t="s">
        <v>20</v>
      </c>
      <c r="E258" s="43" t="s">
        <v>731</v>
      </c>
      <c r="F258" s="44" t="s">
        <v>754</v>
      </c>
      <c r="G258" s="43"/>
      <c r="H258" s="43"/>
      <c r="I258" s="43"/>
      <c r="J258" s="42" t="s">
        <v>1410</v>
      </c>
      <c r="K258" s="43" t="str">
        <f>VLOOKUP(C258,'[1]뷰프레임 전체_상세'!$B:$E,4,0)</f>
        <v>F-270I-466GGGS1R5</v>
      </c>
      <c r="L258" s="52" t="str">
        <f>IF(M258&lt;=0.9,HYPERLINK("http://www.lxhausys.co.kr/popup/rn/download/downloadPopup.jsp?from=plwindow&amp;uu=/upload/window/REPORT/LXH-EA25-029 F-270I-466GGGS1R5.pdf","1등급"),IF(M258&lt;=1.2,HYPERLINK("http://www.lxhausys.co.kr/popup/rn/download/downloadPopup.jsp?from=plwindow&amp;uu=/upload/window/REPORT/LXH-EA25-029 F-270I-466GGGS1R5.pdf","2등급"),IF(M258&lt;=1.8,HYPERLINK("http://www.lxhausys.co.kr/popup/rn/download/downloadPopup.jsp?from=plwindow&amp;uu=/upload/window/REPORT/LXH-EA25-029 F-270I-466GGGS1R5.pdf","3등급"),IF(M258&lt;=2.3,HYPERLINK("http://www.lxhausys.co.kr/popup/rn/download/downloadPopup.jsp?from=plwindow&amp;uu=/upload/window/REPORT/LXH-EA25-029 F-270I-466GGGS1R5.pdf","4등급"),IF(M258&lt;=2.8,HYPERLINK("http://www.lxhausys.co.kr/popup/rn/download/downloadPopup.jsp?from=plwindow&amp;uu=/upload/window/REPORT/LXH-EA25-029 F-270I-466GGGS1R5.pdf","5등급"),HYPERLINK("http://www.lxhausys.co.kr/popup/rn/download/downloadPopup.jsp?from=plwindow&amp;uu=/upload/window/REPORT/LXH-TW22-015 S-124-222FFGL1R261.pdf","등급외"))))))</f>
        <v>1등급</v>
      </c>
      <c r="M258" s="45">
        <v>0.80500000000000005</v>
      </c>
      <c r="N258" s="45">
        <v>0.8</v>
      </c>
      <c r="O258" s="42"/>
      <c r="P258" s="42" t="s">
        <v>22</v>
      </c>
      <c r="Q258" s="42" t="s">
        <v>19</v>
      </c>
      <c r="R258" s="42" t="s">
        <v>19</v>
      </c>
      <c r="S258" s="42" t="s">
        <v>19</v>
      </c>
      <c r="T258" s="42" t="s">
        <v>19</v>
      </c>
      <c r="U258" s="42" t="s">
        <v>19</v>
      </c>
      <c r="V258" s="42" t="s">
        <v>19</v>
      </c>
      <c r="W258" s="42" t="s">
        <v>19</v>
      </c>
      <c r="X258" s="42" t="s">
        <v>75</v>
      </c>
    </row>
    <row r="259" spans="1:24">
      <c r="A259" s="42" t="s">
        <v>707</v>
      </c>
      <c r="B259" s="43" t="s">
        <v>1037</v>
      </c>
      <c r="C259" s="42" t="s">
        <v>1333</v>
      </c>
      <c r="D259" s="42" t="s">
        <v>20</v>
      </c>
      <c r="E259" s="43" t="s">
        <v>732</v>
      </c>
      <c r="F259" s="44" t="s">
        <v>743</v>
      </c>
      <c r="G259" s="43"/>
      <c r="H259" s="43"/>
      <c r="I259" s="43"/>
      <c r="J259" s="42" t="s">
        <v>1410</v>
      </c>
      <c r="K259" s="43" t="str">
        <f>VLOOKUP(C259,'[1]뷰프레임 전체_상세'!$B:$E,4,0)</f>
        <v>F-270I-466KGGG1R5</v>
      </c>
      <c r="L259" s="52" t="str">
        <f>IF(M259&lt;=0.9,HYPERLINK("http://www.lxhausys.co.kr/popup/rn/download/downloadPopup.jsp?from=plwindow&amp;uu=/upload/window/REPORT/LXH-EA25-030 F-270I-466KGGG1R5.pdf","1등급"),IF(M259&lt;=1.2,HYPERLINK("http://www.lxhausys.co.kr/popup/rn/download/downloadPopup.jsp?from=plwindow&amp;uu=/upload/window/REPORT/LXH-EA25-030 F-270I-466KGGG1R5.pdf","2등급"),IF(M259&lt;=1.8,HYPERLINK("http://www.lxhausys.co.kr/popup/rn/download/downloadPopup.jsp?from=plwindow&amp;uu=/upload/window/REPORT/LXH-EA25-030 F-270I-466KGGG1R5.pdf","3등급"),IF(M259&lt;=2.3,HYPERLINK("http://www.lxhausys.co.kr/popup/rn/download/downloadPopup.jsp?from=plwindow&amp;uu=/upload/window/REPORT/LXH-EA25-030 F-270I-466KGGG1R5.pdf","4등급"),IF(M259&lt;=2.8,HYPERLINK("http://www.lxhausys.co.kr/popup/rn/download/downloadPopup.jsp?from=plwindow&amp;uu=/upload/window/REPORT/LXH-EA25-030 F-270I-466KGGG1R5.pdf","5등급"),HYPERLINK("http://www.lxhausys.co.kr/popup/rn/download/downloadPopup.jsp?from=plwindow&amp;uu=/upload/window/REPORT/LXH-TW22-015 S-124-222FFGL1R262.pdf","등급외"))))))</f>
        <v>1등급</v>
      </c>
      <c r="M259" s="45">
        <v>0.79100000000000004</v>
      </c>
      <c r="N259" s="45">
        <v>0.84</v>
      </c>
      <c r="O259" s="42"/>
      <c r="P259" s="42" t="s">
        <v>22</v>
      </c>
      <c r="Q259" s="42" t="s">
        <v>19</v>
      </c>
      <c r="R259" s="42" t="s">
        <v>19</v>
      </c>
      <c r="S259" s="42" t="s">
        <v>19</v>
      </c>
      <c r="T259" s="42" t="s">
        <v>19</v>
      </c>
      <c r="U259" s="42" t="s">
        <v>19</v>
      </c>
      <c r="V259" s="42" t="s">
        <v>19</v>
      </c>
      <c r="W259" s="42" t="s">
        <v>19</v>
      </c>
      <c r="X259" s="42" t="s">
        <v>75</v>
      </c>
    </row>
    <row r="260" spans="1:24">
      <c r="A260" s="42" t="s">
        <v>706</v>
      </c>
      <c r="B260" s="43" t="s">
        <v>1038</v>
      </c>
      <c r="C260" s="42" t="s">
        <v>1334</v>
      </c>
      <c r="D260" s="42" t="s">
        <v>20</v>
      </c>
      <c r="E260" s="43" t="s">
        <v>735</v>
      </c>
      <c r="F260" s="44" t="s">
        <v>747</v>
      </c>
      <c r="G260" s="43"/>
      <c r="H260" s="43"/>
      <c r="I260" s="43"/>
      <c r="J260" s="42" t="s">
        <v>1410</v>
      </c>
      <c r="K260" s="43" t="str">
        <f>VLOOKUP(C260,'[1]뷰프레임 전체_상세'!$B:$E,4,0)</f>
        <v>F-250I-488GGGG2A5</v>
      </c>
      <c r="L260" s="52" t="str">
        <f>IF(M260&lt;=0.9,HYPERLINK("http://www.lxhausys.co.kr/popup/rn/download/downloadPopup.jsp?from=plwindow&amp;uu=/upload/window/REPORT/LXH-EA25-031 F-250I-488GGGG2A5.pdf","1등급"),IF(M260&lt;=1.2,HYPERLINK("http://www.lxhausys.co.kr/popup/rn/download/downloadPopup.jsp?from=plwindow&amp;uu=/upload/window/REPORT/LXH-EA25-031 F-250I-488GGGG2A5.pdf","2등급"),IF(M260&lt;=1.8,HYPERLINK("http://www.lxhausys.co.kr/popup/rn/download/downloadPopup.jsp?from=plwindow&amp;uu=/upload/window/REPORT/LXH-EA25-031 F-250I-488GGGG2A5.pdf","3등급"),IF(M260&lt;=2.3,HYPERLINK("http://www.lxhausys.co.kr/popup/rn/download/downloadPopup.jsp?from=plwindow&amp;uu=/upload/window/REPORT/LXH-EA25-031 F-250I-488GGGG2A5.pdf","4등급"),IF(M260&lt;=2.8,HYPERLINK("http://www.lxhausys.co.kr/popup/rn/download/downloadPopup.jsp?from=plwindow&amp;uu=/upload/window/REPORT/LXH-EA25-031 F-250I-488GGGG2A5.pdf","5등급"),HYPERLINK("http://www.lxhausys.co.kr/popup/rn/download/downloadPopup.jsp?from=plwindow&amp;uu=/upload/window/REPORT/LXH-TW22-015 S-124-222FFGL1R263.pdf","등급외"))))))</f>
        <v>2등급</v>
      </c>
      <c r="M260" s="45">
        <v>1.1870000000000001</v>
      </c>
      <c r="N260" s="45">
        <v>0.82</v>
      </c>
      <c r="O260" s="42"/>
      <c r="P260" s="42" t="s">
        <v>22</v>
      </c>
      <c r="Q260" s="42" t="s">
        <v>19</v>
      </c>
      <c r="R260" s="42" t="s">
        <v>19</v>
      </c>
      <c r="S260" s="42" t="s">
        <v>19</v>
      </c>
      <c r="T260" s="42" t="s">
        <v>19</v>
      </c>
      <c r="U260" s="42" t="s">
        <v>19</v>
      </c>
      <c r="V260" s="42" t="s">
        <v>19</v>
      </c>
      <c r="W260" s="42" t="s">
        <v>19</v>
      </c>
      <c r="X260" s="42" t="s">
        <v>75</v>
      </c>
    </row>
    <row r="261" spans="1:24">
      <c r="A261" s="42" t="s">
        <v>706</v>
      </c>
      <c r="B261" s="43" t="s">
        <v>1039</v>
      </c>
      <c r="C261" s="42" t="s">
        <v>1335</v>
      </c>
      <c r="D261" s="42" t="s">
        <v>20</v>
      </c>
      <c r="E261" s="43" t="s">
        <v>734</v>
      </c>
      <c r="F261" s="44" t="s">
        <v>747</v>
      </c>
      <c r="G261" s="43"/>
      <c r="H261" s="43"/>
      <c r="I261" s="43"/>
      <c r="J261" s="42" t="s">
        <v>1410</v>
      </c>
      <c r="K261" s="43" t="str">
        <f>VLOOKUP(C261,'[1]뷰프레임 전체_상세'!$B:$E,4,0)</f>
        <v>F-250I-488KGGG2A5</v>
      </c>
      <c r="L261" s="52" t="str">
        <f>IF(M261&lt;=0.9,HYPERLINK("http://www.lxhausys.co.kr/popup/rn/download/downloadPopup.jsp?from=plwindow&amp;uu=/upload/window/REPORT/LXH-EA25-032 F-250I-488KGGG2A5.pdf","1등급"),IF(M261&lt;=1.2,HYPERLINK("http://www.lxhausys.co.kr/popup/rn/download/downloadPopup.jsp?from=plwindow&amp;uu=/upload/window/REPORT/LXH-EA25-032 F-250I-488KGGG2A5.pdf","2등급"),IF(M261&lt;=1.8,HYPERLINK("http://www.lxhausys.co.kr/popup/rn/download/downloadPopup.jsp?from=plwindow&amp;uu=/upload/window/REPORT/LXH-EA25-032 F-250I-488KGGG2A5.pdf","3등급"),IF(M261&lt;=2.3,HYPERLINK("http://www.lxhausys.co.kr/popup/rn/download/downloadPopup.jsp?from=plwindow&amp;uu=/upload/window/REPORT/LXH-EA25-032 F-250I-488KGGG2A5.pdf","4등급"),IF(M261&lt;=2.8,HYPERLINK("http://www.lxhausys.co.kr/popup/rn/download/downloadPopup.jsp?from=plwindow&amp;uu=/upload/window/REPORT/LXH-EA25-032 F-250I-488KGGG2A5.pdf","5등급"),HYPERLINK("http://www.lxhausys.co.kr/popup/rn/download/downloadPopup.jsp?from=plwindow&amp;uu=/upload/window/REPORT/LXH-TW22-015 S-124-222FFGL1R264.pdf","등급외"))))))</f>
        <v>1등급</v>
      </c>
      <c r="M261" s="45">
        <v>0.86</v>
      </c>
      <c r="N261" s="45">
        <v>0.81</v>
      </c>
      <c r="O261" s="42"/>
      <c r="P261" s="42" t="s">
        <v>22</v>
      </c>
      <c r="Q261" s="42" t="s">
        <v>19</v>
      </c>
      <c r="R261" s="42" t="s">
        <v>19</v>
      </c>
      <c r="S261" s="42" t="s">
        <v>19</v>
      </c>
      <c r="T261" s="42" t="s">
        <v>19</v>
      </c>
      <c r="U261" s="42" t="s">
        <v>19</v>
      </c>
      <c r="V261" s="42" t="s">
        <v>19</v>
      </c>
      <c r="W261" s="42" t="s">
        <v>19</v>
      </c>
      <c r="X261" s="42" t="s">
        <v>75</v>
      </c>
    </row>
    <row r="262" spans="1:24">
      <c r="A262" s="42" t="s">
        <v>706</v>
      </c>
      <c r="B262" s="43" t="s">
        <v>1040</v>
      </c>
      <c r="C262" s="42" t="s">
        <v>1336</v>
      </c>
      <c r="D262" s="42" t="s">
        <v>20</v>
      </c>
      <c r="E262" s="43" t="s">
        <v>735</v>
      </c>
      <c r="F262" s="44" t="s">
        <v>761</v>
      </c>
      <c r="G262" s="43"/>
      <c r="H262" s="43"/>
      <c r="I262" s="43"/>
      <c r="J262" s="42" t="s">
        <v>1410</v>
      </c>
      <c r="K262" s="43" t="str">
        <f>VLOOKUP(C262,'[1]뷰프레임 전체_상세'!$B:$E,4,0)</f>
        <v>F-250I-488GGGS2A5</v>
      </c>
      <c r="L262" s="52" t="str">
        <f>IF(M262&lt;=0.9,HYPERLINK("http://www.lxhausys.co.kr/popup/rn/download/downloadPopup.jsp?from=plwindow&amp;uu=/upload/window/REPORT/LXH-EA25-033 F-250I-488GGGS2A5.pdf","1등급"),IF(M262&lt;=1.2,HYPERLINK("http://www.lxhausys.co.kr/popup/rn/download/downloadPopup.jsp?from=plwindow&amp;uu=/upload/window/REPORT/LXH-EA25-033 F-250I-488GGGS2A5.pdf","2등급"),IF(M262&lt;=1.8,HYPERLINK("http://www.lxhausys.co.kr/popup/rn/download/downloadPopup.jsp?from=plwindow&amp;uu=/upload/window/REPORT/LXH-EA25-033 F-250I-488GGGS2A5.pdf","3등급"),IF(M262&lt;=2.3,HYPERLINK("http://www.lxhausys.co.kr/popup/rn/download/downloadPopup.jsp?from=plwindow&amp;uu=/upload/window/REPORT/LXH-EA25-033 F-250I-488GGGS2A5.pdf","4등급"),IF(M262&lt;=2.8,HYPERLINK("http://www.lxhausys.co.kr/popup/rn/download/downloadPopup.jsp?from=plwindow&amp;uu=/upload/window/REPORT/LXH-EA25-033 F-250I-488GGGS2A5.pdf","5등급"),HYPERLINK("http://www.lxhausys.co.kr/popup/rn/download/downloadPopup.jsp?from=plwindow&amp;uu=/upload/window/REPORT/LXH-TW22-015 S-124-222FFGL1R265.pdf","등급외"))))))</f>
        <v>1등급</v>
      </c>
      <c r="M262" s="45">
        <v>0.85199999999999998</v>
      </c>
      <c r="N262" s="45">
        <v>0.8</v>
      </c>
      <c r="O262" s="42"/>
      <c r="P262" s="42" t="s">
        <v>22</v>
      </c>
      <c r="Q262" s="42" t="s">
        <v>19</v>
      </c>
      <c r="R262" s="42" t="s">
        <v>19</v>
      </c>
      <c r="S262" s="42" t="s">
        <v>19</v>
      </c>
      <c r="T262" s="42" t="s">
        <v>19</v>
      </c>
      <c r="U262" s="42" t="s">
        <v>19</v>
      </c>
      <c r="V262" s="42" t="s">
        <v>19</v>
      </c>
      <c r="W262" s="42" t="s">
        <v>19</v>
      </c>
      <c r="X262" s="42" t="s">
        <v>75</v>
      </c>
    </row>
    <row r="263" spans="1:24">
      <c r="A263" s="42" t="s">
        <v>706</v>
      </c>
      <c r="B263" s="43" t="s">
        <v>1041</v>
      </c>
      <c r="C263" s="42" t="s">
        <v>1337</v>
      </c>
      <c r="D263" s="42" t="s">
        <v>20</v>
      </c>
      <c r="E263" s="43" t="s">
        <v>733</v>
      </c>
      <c r="F263" s="44" t="s">
        <v>747</v>
      </c>
      <c r="G263" s="43"/>
      <c r="H263" s="43"/>
      <c r="I263" s="43"/>
      <c r="J263" s="42" t="s">
        <v>1410</v>
      </c>
      <c r="K263" s="43" t="str">
        <f>VLOOKUP(C263,'[1]뷰프레임 전체_상세'!$B:$E,4,0)</f>
        <v>F-250I-488KGGG1R5</v>
      </c>
      <c r="L263" s="52" t="str">
        <f>IF(M263&lt;=0.9,HYPERLINK("http://www.lxhausys.co.kr/popup/rn/download/downloadPopup.jsp?from=plwindow&amp;uu=/upload/window/REPORT/LXH-EA25-034 F-250I-488KGGG1R5.pdf","1등급"),IF(M263&lt;=1.2,HYPERLINK("http://www.lxhausys.co.kr/popup/rn/download/downloadPopup.jsp?from=plwindow&amp;uu=/upload/window/REPORT/LXH-EA25-034 F-250I-488KGGG1R5.pdf","2등급"),IF(M263&lt;=1.8,HYPERLINK("http://www.lxhausys.co.kr/popup/rn/download/downloadPopup.jsp?from=plwindow&amp;uu=/upload/window/REPORT/LXH-EA25-034 F-250I-488KGGG1R5.pdf","3등급"),IF(M263&lt;=2.3,HYPERLINK("http://www.lxhausys.co.kr/popup/rn/download/downloadPopup.jsp?from=plwindow&amp;uu=/upload/window/REPORT/LXH-EA25-034 F-250I-488KGGG1R5.pdf","4등급"),IF(M263&lt;=2.8,HYPERLINK("http://www.lxhausys.co.kr/popup/rn/download/downloadPopup.jsp?from=plwindow&amp;uu=/upload/window/REPORT/LXH-EA25-034 F-250I-488KGGG1R5.pdf","5등급"),HYPERLINK("http://www.lxhausys.co.kr/popup/rn/download/downloadPopup.jsp?from=plwindow&amp;uu=/upload/window/REPORT/LXH-TW22-015 S-124-222FFGL1R266.pdf","등급외"))))))</f>
        <v>1등급</v>
      </c>
      <c r="M263" s="45">
        <v>0.76500000000000001</v>
      </c>
      <c r="N263" s="45">
        <v>0.8</v>
      </c>
      <c r="O263" s="42"/>
      <c r="P263" s="42" t="s">
        <v>22</v>
      </c>
      <c r="Q263" s="42" t="s">
        <v>19</v>
      </c>
      <c r="R263" s="42" t="s">
        <v>19</v>
      </c>
      <c r="S263" s="42" t="s">
        <v>19</v>
      </c>
      <c r="T263" s="42" t="s">
        <v>19</v>
      </c>
      <c r="U263" s="42" t="s">
        <v>19</v>
      </c>
      <c r="V263" s="42" t="s">
        <v>19</v>
      </c>
      <c r="W263" s="42" t="s">
        <v>19</v>
      </c>
      <c r="X263" s="42" t="s">
        <v>75</v>
      </c>
    </row>
    <row r="264" spans="1:24">
      <c r="A264" s="42" t="s">
        <v>707</v>
      </c>
      <c r="B264" s="43" t="s">
        <v>1042</v>
      </c>
      <c r="C264" s="42" t="s">
        <v>1338</v>
      </c>
      <c r="D264" s="42" t="s">
        <v>20</v>
      </c>
      <c r="E264" s="43" t="s">
        <v>733</v>
      </c>
      <c r="F264" s="44" t="s">
        <v>747</v>
      </c>
      <c r="G264" s="43"/>
      <c r="H264" s="43"/>
      <c r="I264" s="43"/>
      <c r="J264" s="42" t="s">
        <v>1410</v>
      </c>
      <c r="K264" s="43" t="str">
        <f>VLOOKUP(C264,'[1]뷰프레임 전체_상세'!$B:$E,4,0)</f>
        <v>F-270I-488KGGG1R5</v>
      </c>
      <c r="L264" s="52" t="str">
        <f>IF(M264&lt;=0.9,HYPERLINK("http://www.lxhausys.co.kr/popup/rn/download/downloadPopup.jsp?from=plwindow&amp;uu=/upload/window/REPORT/LXH-EA25-035 F-270I-488KGGG1R5.pdf","1등급"),IF(M264&lt;=1.2,HYPERLINK("http://www.lxhausys.co.kr/popup/rn/download/downloadPopup.jsp?from=plwindow&amp;uu=/upload/window/REPORT/LXH-EA25-035 F-270I-488KGGG1R5.pdf","2등급"),IF(M264&lt;=1.8,HYPERLINK("http://www.lxhausys.co.kr/popup/rn/download/downloadPopup.jsp?from=plwindow&amp;uu=/upload/window/REPORT/LXH-EA25-035 F-270I-488KGGG1R5.pdf","3등급"),IF(M264&lt;=2.3,HYPERLINK("http://www.lxhausys.co.kr/popup/rn/download/downloadPopup.jsp?from=plwindow&amp;uu=/upload/window/REPORT/LXH-EA25-035 F-270I-488KGGG1R5.pdf","4등급"),IF(M264&lt;=2.8,HYPERLINK("http://www.lxhausys.co.kr/popup/rn/download/downloadPopup.jsp?from=plwindow&amp;uu=/upload/window/REPORT/LXH-EA25-035 F-270I-488KGGG1R5.pdf","5등급"),HYPERLINK("http://www.lxhausys.co.kr/popup/rn/download/downloadPopup.jsp?from=plwindow&amp;uu=/upload/window/REPORT/LXH-TW22-015 S-124-222FFGL1R267.pdf","등급외"))))))</f>
        <v>1등급</v>
      </c>
      <c r="M264" s="45">
        <v>0.76700000000000002</v>
      </c>
      <c r="N264" s="45">
        <v>0.83</v>
      </c>
      <c r="O264" s="42"/>
      <c r="P264" s="42" t="s">
        <v>22</v>
      </c>
      <c r="Q264" s="42" t="s">
        <v>19</v>
      </c>
      <c r="R264" s="42" t="s">
        <v>19</v>
      </c>
      <c r="S264" s="42" t="s">
        <v>19</v>
      </c>
      <c r="T264" s="42" t="s">
        <v>19</v>
      </c>
      <c r="U264" s="42" t="s">
        <v>19</v>
      </c>
      <c r="V264" s="42" t="s">
        <v>19</v>
      </c>
      <c r="W264" s="42" t="s">
        <v>19</v>
      </c>
      <c r="X264" s="42" t="s">
        <v>75</v>
      </c>
    </row>
    <row r="265" spans="1:24">
      <c r="A265" s="42" t="s">
        <v>707</v>
      </c>
      <c r="B265" s="43" t="s">
        <v>1043</v>
      </c>
      <c r="C265" s="42" t="s">
        <v>1339</v>
      </c>
      <c r="D265" s="42" t="s">
        <v>20</v>
      </c>
      <c r="E265" s="43" t="s">
        <v>735</v>
      </c>
      <c r="F265" s="44" t="s">
        <v>747</v>
      </c>
      <c r="G265" s="43"/>
      <c r="H265" s="43"/>
      <c r="I265" s="43"/>
      <c r="J265" s="42" t="s">
        <v>1410</v>
      </c>
      <c r="K265" s="43" t="str">
        <f>VLOOKUP(C265,'[1]뷰프레임 전체_상세'!$B:$E,4,0)</f>
        <v>F-270I-488GGGG2A5</v>
      </c>
      <c r="L265" s="52" t="str">
        <f>IF(M265&lt;=0.9,HYPERLINK("http://www.lxhausys.co.kr/popup/rn/download/downloadPopup.jsp?from=plwindow&amp;uu=/upload/window/REPORT/LXH-EA25-036 F-270I-488GGGG2A5.pdf","1등급"),IF(M265&lt;=1.2,HYPERLINK("http://www.lxhausys.co.kr/popup/rn/download/downloadPopup.jsp?from=plwindow&amp;uu=/upload/window/REPORT/LXH-EA25-036 F-270I-488GGGG2A5.pdf","2등급"),IF(M265&lt;=1.8,HYPERLINK("http://www.lxhausys.co.kr/popup/rn/download/downloadPopup.jsp?from=plwindow&amp;uu=/upload/window/REPORT/LXH-EA25-036 F-270I-488GGGG2A5.pdf","3등급"),IF(M265&lt;=2.3,HYPERLINK("http://www.lxhausys.co.kr/popup/rn/download/downloadPopup.jsp?from=plwindow&amp;uu=/upload/window/REPORT/LXH-EA25-036 F-270I-488GGGG2A5.pdf","4등급"),IF(M265&lt;=2.8,HYPERLINK("http://www.lxhausys.co.kr/popup/rn/download/downloadPopup.jsp?from=plwindow&amp;uu=/upload/window/REPORT/LXH-EA25-036 F-270I-488GGGG2A5.pdf","5등급"),HYPERLINK("http://www.lxhausys.co.kr/popup/rn/download/downloadPopup.jsp?from=plwindow&amp;uu=/upload/window/REPORT/LXH-TW22-015 S-124-222FFGL1R268.pdf","등급외"))))))</f>
        <v>2등급</v>
      </c>
      <c r="M265" s="45">
        <v>1.1879999999999999</v>
      </c>
      <c r="N265" s="45">
        <v>0.82</v>
      </c>
      <c r="O265" s="42"/>
      <c r="P265" s="42" t="s">
        <v>22</v>
      </c>
      <c r="Q265" s="42" t="s">
        <v>19</v>
      </c>
      <c r="R265" s="42" t="s">
        <v>19</v>
      </c>
      <c r="S265" s="42" t="s">
        <v>19</v>
      </c>
      <c r="T265" s="42" t="s">
        <v>19</v>
      </c>
      <c r="U265" s="42" t="s">
        <v>19</v>
      </c>
      <c r="V265" s="42" t="s">
        <v>19</v>
      </c>
      <c r="W265" s="42" t="s">
        <v>19</v>
      </c>
      <c r="X265" s="42" t="s">
        <v>75</v>
      </c>
    </row>
    <row r="266" spans="1:24">
      <c r="A266" s="42" t="s">
        <v>707</v>
      </c>
      <c r="B266" s="43" t="s">
        <v>1044</v>
      </c>
      <c r="C266" s="42" t="s">
        <v>1340</v>
      </c>
      <c r="D266" s="42" t="s">
        <v>20</v>
      </c>
      <c r="E266" s="43" t="s">
        <v>735</v>
      </c>
      <c r="F266" s="44" t="s">
        <v>761</v>
      </c>
      <c r="G266" s="43"/>
      <c r="H266" s="43"/>
      <c r="I266" s="43"/>
      <c r="J266" s="42" t="s">
        <v>1410</v>
      </c>
      <c r="K266" s="43" t="str">
        <f>VLOOKUP(C266,'[1]뷰프레임 전체_상세'!$B:$E,4,0)</f>
        <v>F-270I-488GGGS2A5</v>
      </c>
      <c r="L266" s="52" t="str">
        <f>IF(M266&lt;=0.9,HYPERLINK("http://www.lxhausys.co.kr/popup/rn/download/downloadPopup.jsp?from=plwindow&amp;uu=/upload/window/REPORT/LXH-EA25-037 F-270I-488GGGS2A5.pdf","1등급"),IF(M266&lt;=1.2,HYPERLINK("http://www.lxhausys.co.kr/popup/rn/download/downloadPopup.jsp?from=plwindow&amp;uu=/upload/window/REPORT/LXH-EA25-037 F-270I-488GGGS2A5.pdf","2등급"),IF(M266&lt;=1.8,HYPERLINK("http://www.lxhausys.co.kr/popup/rn/download/downloadPopup.jsp?from=plwindow&amp;uu=/upload/window/REPORT/LXH-EA25-037 F-270I-488GGGS2A5.pdf","3등급"),IF(M266&lt;=2.3,HYPERLINK("http://www.lxhausys.co.kr/popup/rn/download/downloadPopup.jsp?from=plwindow&amp;uu=/upload/window/REPORT/LXH-EA25-037 F-270I-488GGGS2A5.pdf","4등급"),IF(M266&lt;=2.8,HYPERLINK("http://www.lxhausys.co.kr/popup/rn/download/downloadPopup.jsp?from=plwindow&amp;uu=/upload/window/REPORT/LXH-EA25-037 F-270I-488GGGS2A5.pdf","5등급"),HYPERLINK("http://www.lxhausys.co.kr/popup/rn/download/downloadPopup.jsp?from=plwindow&amp;uu=/upload/window/REPORT/LXH-TW22-015 S-124-222FFGL1R269.pdf","등급외"))))))</f>
        <v>1등급</v>
      </c>
      <c r="M266" s="45">
        <v>0.85399999999999998</v>
      </c>
      <c r="N266" s="45">
        <v>0.82</v>
      </c>
      <c r="O266" s="42"/>
      <c r="P266" s="42" t="s">
        <v>22</v>
      </c>
      <c r="Q266" s="42" t="s">
        <v>19</v>
      </c>
      <c r="R266" s="42" t="s">
        <v>19</v>
      </c>
      <c r="S266" s="42" t="s">
        <v>19</v>
      </c>
      <c r="T266" s="42" t="s">
        <v>19</v>
      </c>
      <c r="U266" s="42" t="s">
        <v>19</v>
      </c>
      <c r="V266" s="42" t="s">
        <v>19</v>
      </c>
      <c r="W266" s="42" t="s">
        <v>19</v>
      </c>
      <c r="X266" s="42" t="s">
        <v>75</v>
      </c>
    </row>
    <row r="267" spans="1:24">
      <c r="A267" s="42" t="s">
        <v>707</v>
      </c>
      <c r="B267" s="43" t="s">
        <v>1045</v>
      </c>
      <c r="C267" s="42" t="s">
        <v>1341</v>
      </c>
      <c r="D267" s="42" t="s">
        <v>20</v>
      </c>
      <c r="E267" s="43" t="s">
        <v>734</v>
      </c>
      <c r="F267" s="44" t="s">
        <v>747</v>
      </c>
      <c r="G267" s="43"/>
      <c r="H267" s="43"/>
      <c r="I267" s="43"/>
      <c r="J267" s="42" t="s">
        <v>1410</v>
      </c>
      <c r="K267" s="43" t="str">
        <f>VLOOKUP(C267,'[1]뷰프레임 전체_상세'!$B:$E,4,0)</f>
        <v>F-270I-488KGGG2A5</v>
      </c>
      <c r="L267" s="52" t="str">
        <f>IF(M267&lt;=0.9,HYPERLINK("http://www.lxhausys.co.kr/popup/rn/download/downloadPopup.jsp?from=plwindow&amp;uu=/upload/window/REPORT/LXH-EA25-038 F-270I-488KGGG2A5.pdf","1등급"),IF(M267&lt;=1.2,HYPERLINK("http://www.lxhausys.co.kr/popup/rn/download/downloadPopup.jsp?from=plwindow&amp;uu=/upload/window/REPORT/LXH-EA25-038 F-270I-488KGGG2A5.pdf","2등급"),IF(M267&lt;=1.8,HYPERLINK("http://www.lxhausys.co.kr/popup/rn/download/downloadPopup.jsp?from=plwindow&amp;uu=/upload/window/REPORT/LXH-EA25-038 F-270I-488KGGG2A5.pdf","3등급"),IF(M267&lt;=2.3,HYPERLINK("http://www.lxhausys.co.kr/popup/rn/download/downloadPopup.jsp?from=plwindow&amp;uu=/upload/window/REPORT/LXH-EA25-038 F-270I-488KGGG2A5.pdf","4등급"),IF(M267&lt;=2.8,HYPERLINK("http://www.lxhausys.co.kr/popup/rn/download/downloadPopup.jsp?from=plwindow&amp;uu=/upload/window/REPORT/LXH-EA25-038 F-270I-488KGGG2A5.pdf","5등급"),HYPERLINK("http://www.lxhausys.co.kr/popup/rn/download/downloadPopup.jsp?from=plwindow&amp;uu=/upload/window/REPORT/LXH-TW22-015 S-124-222FFGL1R270.pdf","등급외"))))))</f>
        <v>1등급</v>
      </c>
      <c r="M267" s="45">
        <v>0.85399999999999998</v>
      </c>
      <c r="N267" s="45">
        <v>0.82</v>
      </c>
      <c r="O267" s="42"/>
      <c r="P267" s="42" t="s">
        <v>22</v>
      </c>
      <c r="Q267" s="42" t="s">
        <v>19</v>
      </c>
      <c r="R267" s="42" t="s">
        <v>19</v>
      </c>
      <c r="S267" s="42" t="s">
        <v>19</v>
      </c>
      <c r="T267" s="42" t="s">
        <v>19</v>
      </c>
      <c r="U267" s="42" t="s">
        <v>19</v>
      </c>
      <c r="V267" s="42" t="s">
        <v>19</v>
      </c>
      <c r="W267" s="42" t="s">
        <v>19</v>
      </c>
      <c r="X267" s="42" t="s">
        <v>75</v>
      </c>
    </row>
    <row r="268" spans="1:24">
      <c r="A268" s="42" t="s">
        <v>707</v>
      </c>
      <c r="B268" s="43" t="s">
        <v>1046</v>
      </c>
      <c r="C268" s="42" t="s">
        <v>1342</v>
      </c>
      <c r="D268" s="42" t="s">
        <v>20</v>
      </c>
      <c r="E268" s="43" t="s">
        <v>735</v>
      </c>
      <c r="F268" s="44" t="s">
        <v>762</v>
      </c>
      <c r="G268" s="43"/>
      <c r="H268" s="43"/>
      <c r="I268" s="43"/>
      <c r="J268" s="42" t="s">
        <v>1410</v>
      </c>
      <c r="K268" s="43" t="str">
        <f>VLOOKUP(C268,'[1]뷰프레임 전체_상세'!$B:$E,4,0)</f>
        <v>F-270I-488GGGS1R5</v>
      </c>
      <c r="L268" s="52" t="str">
        <f>IF(M268&lt;=0.9,HYPERLINK("http://www.lxhausys.co.kr/popup/rn/download/downloadPopup.jsp?from=plwindow&amp;uu=/upload/window/REPORT/LXH-EA25-039 F-270I-488GGGS1R5.pdf","1등급"),IF(M268&lt;=1.2,HYPERLINK("http://www.lxhausys.co.kr/popup/rn/download/downloadPopup.jsp?from=plwindow&amp;uu=/upload/window/REPORT/LXH-EA25-039 F-270I-488GGGS1R5.pdf","2등급"),IF(M268&lt;=1.8,HYPERLINK("http://www.lxhausys.co.kr/popup/rn/download/downloadPopup.jsp?from=plwindow&amp;uu=/upload/window/REPORT/LXH-EA25-039 F-270I-488GGGS1R5.pdf","3등급"),IF(M268&lt;=2.3,HYPERLINK("http://www.lxhausys.co.kr/popup/rn/download/downloadPopup.jsp?from=plwindow&amp;uu=/upload/window/REPORT/LXH-EA25-039 F-270I-488GGGS1R5.pdf","4등급"),IF(M268&lt;=2.8,HYPERLINK("http://www.lxhausys.co.kr/popup/rn/download/downloadPopup.jsp?from=plwindow&amp;uu=/upload/window/REPORT/LXH-EA25-039 F-270I-488GGGS1R5.pdf","5등급"),HYPERLINK("http://www.lxhausys.co.kr/popup/rn/download/downloadPopup.jsp?from=plwindow&amp;uu=/upload/window/REPORT/LXH-TW22-015 S-124-222FFGL1R271.pdf","등급외"))))))</f>
        <v>1등급</v>
      </c>
      <c r="M268" s="45">
        <v>0.77500000000000002</v>
      </c>
      <c r="N268" s="45">
        <v>0.79</v>
      </c>
      <c r="O268" s="42"/>
      <c r="P268" s="42" t="s">
        <v>22</v>
      </c>
      <c r="Q268" s="42" t="s">
        <v>19</v>
      </c>
      <c r="R268" s="42" t="s">
        <v>19</v>
      </c>
      <c r="S268" s="42" t="s">
        <v>19</v>
      </c>
      <c r="T268" s="42" t="s">
        <v>19</v>
      </c>
      <c r="U268" s="42" t="s">
        <v>19</v>
      </c>
      <c r="V268" s="42" t="s">
        <v>19</v>
      </c>
      <c r="W268" s="42" t="s">
        <v>19</v>
      </c>
      <c r="X268" s="42" t="s">
        <v>75</v>
      </c>
    </row>
    <row r="269" spans="1:24">
      <c r="A269" s="42" t="s">
        <v>706</v>
      </c>
      <c r="B269" s="43" t="s">
        <v>1047</v>
      </c>
      <c r="C269" s="42" t="s">
        <v>1343</v>
      </c>
      <c r="D269" s="42" t="s">
        <v>20</v>
      </c>
      <c r="E269" s="43" t="s">
        <v>735</v>
      </c>
      <c r="F269" s="44" t="s">
        <v>762</v>
      </c>
      <c r="G269" s="43"/>
      <c r="H269" s="43"/>
      <c r="I269" s="43"/>
      <c r="J269" s="42" t="s">
        <v>1410</v>
      </c>
      <c r="K269" s="43" t="str">
        <f>VLOOKUP(C269,'[1]뷰프레임 전체_상세'!$B:$E,4,0)</f>
        <v>F-250I-488GGGS1R5</v>
      </c>
      <c r="L269" s="52" t="str">
        <f>IF(M269&lt;=0.9,HYPERLINK("http://www.lxhausys.co.kr/popup/rn/download/downloadPopup.jsp?from=plwindow&amp;uu=/upload/window/REPORT/LXH-EA25-040 F-250I-488GGGS1R5.pdf","1등급"),IF(M269&lt;=1.2,HYPERLINK("http://www.lxhausys.co.kr/popup/rn/download/downloadPopup.jsp?from=plwindow&amp;uu=/upload/window/REPORT/LXH-EA25-040 F-250I-488GGGS1R5.pdf","2등급"),IF(M269&lt;=1.8,HYPERLINK("http://www.lxhausys.co.kr/popup/rn/download/downloadPopup.jsp?from=plwindow&amp;uu=/upload/window/REPORT/LXH-EA25-040 F-250I-488GGGS1R5.pdf","3등급"),IF(M269&lt;=2.3,HYPERLINK("http://www.lxhausys.co.kr/popup/rn/download/downloadPopup.jsp?from=plwindow&amp;uu=/upload/window/REPORT/LXH-EA25-040 F-250I-488GGGS1R5.pdf","4등급"),IF(M269&lt;=2.8,HYPERLINK("http://www.lxhausys.co.kr/popup/rn/download/downloadPopup.jsp?from=plwindow&amp;uu=/upload/window/REPORT/LXH-EA25-040 F-250I-488GGGS1R5.pdf","5등급"),HYPERLINK("http://www.lxhausys.co.kr/popup/rn/download/downloadPopup.jsp?from=plwindow&amp;uu=/upload/window/REPORT/LXH-TW22-015 S-124-222FFGL1R272.pdf","등급외"))))))</f>
        <v>1등급</v>
      </c>
      <c r="M269" s="45">
        <v>0.77600000000000002</v>
      </c>
      <c r="N269" s="45">
        <v>0.79</v>
      </c>
      <c r="O269" s="42"/>
      <c r="P269" s="42" t="s">
        <v>22</v>
      </c>
      <c r="Q269" s="42" t="s">
        <v>19</v>
      </c>
      <c r="R269" s="42" t="s">
        <v>19</v>
      </c>
      <c r="S269" s="42" t="s">
        <v>19</v>
      </c>
      <c r="T269" s="42" t="s">
        <v>19</v>
      </c>
      <c r="U269" s="42" t="s">
        <v>19</v>
      </c>
      <c r="V269" s="42" t="s">
        <v>19</v>
      </c>
      <c r="W269" s="42" t="s">
        <v>19</v>
      </c>
      <c r="X269" s="42" t="s">
        <v>75</v>
      </c>
    </row>
    <row r="270" spans="1:24">
      <c r="A270" s="42" t="s">
        <v>707</v>
      </c>
      <c r="B270" s="43" t="s">
        <v>1048</v>
      </c>
      <c r="C270" s="42" t="s">
        <v>1344</v>
      </c>
      <c r="D270" s="42" t="s">
        <v>20</v>
      </c>
      <c r="E270" s="43" t="s">
        <v>731</v>
      </c>
      <c r="F270" s="44" t="s">
        <v>763</v>
      </c>
      <c r="G270" s="43"/>
      <c r="H270" s="43"/>
      <c r="I270" s="43"/>
      <c r="J270" s="42" t="s">
        <v>1410</v>
      </c>
      <c r="K270" s="43" t="str">
        <f>VLOOKUP(C270,'[1]뷰프레임 전체_상세'!$B:$E,4,0)</f>
        <v>F-270I-466GGGL1R5-2</v>
      </c>
      <c r="L270" s="52" t="str">
        <f>IF(M270&lt;=0.9,HYPERLINK("http://www.lxhausys.co.kr/popup/rn/download/downloadPopup.jsp?from=plwindow&amp;uu=/upload/window/REPORT/LXH-EA25-043 F-270I-466GGGL1R5-2.pdf","1등급"),IF(M270&lt;=1.2,HYPERLINK("http://www.lxhausys.co.kr/popup/rn/download/downloadPopup.jsp?from=plwindow&amp;uu=/upload/window/REPORT/LXH-EA25-043 F-270I-466GGGL1R5-2.pdf","2등급"),IF(M270&lt;=1.8,HYPERLINK("http://www.lxhausys.co.kr/popup/rn/download/downloadPopup.jsp?from=plwindow&amp;uu=/upload/window/REPORT/LXH-EA25-043 F-270I-466GGGL1R5-2.pdf","3등급"),IF(M270&lt;=2.3,HYPERLINK("http://www.lxhausys.co.kr/popup/rn/download/downloadPopup.jsp?from=plwindow&amp;uu=/upload/window/REPORT/LXH-EA25-043 F-270I-466GGGL1R5-2.pdf","4등급"),IF(M270&lt;=2.8,HYPERLINK("http://www.lxhausys.co.kr/popup/rn/download/downloadPopup.jsp?from=plwindow&amp;uu=/upload/window/REPORT/LXH-EA25-043 F-270I-466GGGL1R5-2.pdf","5등급"),HYPERLINK("http://www.lxhausys.co.kr/popup/rn/download/downloadPopup.jsp?from=plwindow&amp;uu=/upload/window/REPORT/LXH-TW22-015 S-124-222FFGL1R273.pdf","등급외"))))))</f>
        <v>1등급</v>
      </c>
      <c r="M270" s="45">
        <v>0.80800000000000005</v>
      </c>
      <c r="N270" s="45">
        <v>0.82</v>
      </c>
      <c r="O270" s="42"/>
      <c r="P270" s="42" t="s">
        <v>22</v>
      </c>
      <c r="Q270" s="42" t="s">
        <v>19</v>
      </c>
      <c r="R270" s="42" t="s">
        <v>19</v>
      </c>
      <c r="S270" s="42" t="s">
        <v>19</v>
      </c>
      <c r="T270" s="42" t="s">
        <v>19</v>
      </c>
      <c r="U270" s="42" t="s">
        <v>19</v>
      </c>
      <c r="V270" s="42" t="s">
        <v>19</v>
      </c>
      <c r="W270" s="42" t="s">
        <v>19</v>
      </c>
      <c r="X270" s="42" t="s">
        <v>75</v>
      </c>
    </row>
    <row r="271" spans="1:24">
      <c r="A271" s="42" t="s">
        <v>706</v>
      </c>
      <c r="B271" s="43" t="s">
        <v>1049</v>
      </c>
      <c r="C271" s="42" t="s">
        <v>1345</v>
      </c>
      <c r="D271" s="42" t="s">
        <v>20</v>
      </c>
      <c r="E271" s="43" t="s">
        <v>731</v>
      </c>
      <c r="F271" s="44" t="s">
        <v>763</v>
      </c>
      <c r="G271" s="43"/>
      <c r="H271" s="43"/>
      <c r="I271" s="43"/>
      <c r="J271" s="42" t="s">
        <v>1410</v>
      </c>
      <c r="K271" s="43" t="str">
        <f>VLOOKUP(C271,'[1]뷰프레임 전체_상세'!$B:$E,4,0)</f>
        <v>F-250I-466GGGL1R5-2</v>
      </c>
      <c r="L271" s="52" t="str">
        <f>IF(M271&lt;=0.9,HYPERLINK("http://www.lxhausys.co.kr/popup/rn/download/downloadPopup.jsp?from=plwindow&amp;uu=/upload/window/REPORT/LXH-EA25-044 F-250I-466GGGL1R5-2.pdf","1등급"),IF(M271&lt;=1.2,HYPERLINK("http://www.lxhausys.co.kr/popup/rn/download/downloadPopup.jsp?from=plwindow&amp;uu=/upload/window/REPORT/LXH-EA25-044 F-250I-466GGGL1R5-2.pdf","2등급"),IF(M271&lt;=1.8,HYPERLINK("http://www.lxhausys.co.kr/popup/rn/download/downloadPopup.jsp?from=plwindow&amp;uu=/upload/window/REPORT/LXH-EA25-044 F-250I-466GGGL1R5-2.pdf","3등급"),IF(M271&lt;=2.3,HYPERLINK("http://www.lxhausys.co.kr/popup/rn/download/downloadPopup.jsp?from=plwindow&amp;uu=/upload/window/REPORT/LXH-EA25-044 F-250I-466GGGL1R5-2.pdf","4등급"),IF(M271&lt;=2.8,HYPERLINK("http://www.lxhausys.co.kr/popup/rn/download/downloadPopup.jsp?from=plwindow&amp;uu=/upload/window/REPORT/LXH-EA25-044 F-250I-466GGGL1R5-2.pdf","5등급"),HYPERLINK("http://www.lxhausys.co.kr/popup/rn/download/downloadPopup.jsp?from=plwindow&amp;uu=/upload/window/REPORT/LXH-TW22-015 S-124-222FFGL1R274.pdf","등급외"))))))</f>
        <v>1등급</v>
      </c>
      <c r="M271" s="45">
        <v>0.81</v>
      </c>
      <c r="N271" s="45">
        <v>0.82</v>
      </c>
      <c r="O271" s="42"/>
      <c r="P271" s="42" t="s">
        <v>22</v>
      </c>
      <c r="Q271" s="42" t="s">
        <v>19</v>
      </c>
      <c r="R271" s="42" t="s">
        <v>19</v>
      </c>
      <c r="S271" s="42" t="s">
        <v>19</v>
      </c>
      <c r="T271" s="42" t="s">
        <v>19</v>
      </c>
      <c r="U271" s="42" t="s">
        <v>19</v>
      </c>
      <c r="V271" s="42" t="s">
        <v>19</v>
      </c>
      <c r="W271" s="42" t="s">
        <v>19</v>
      </c>
      <c r="X271" s="42" t="s">
        <v>75</v>
      </c>
    </row>
    <row r="272" spans="1:24">
      <c r="A272" s="42" t="s">
        <v>671</v>
      </c>
      <c r="B272" s="43" t="s">
        <v>1050</v>
      </c>
      <c r="C272" s="42" t="s">
        <v>1346</v>
      </c>
      <c r="D272" s="42" t="s">
        <v>20</v>
      </c>
      <c r="E272" s="43" t="s">
        <v>731</v>
      </c>
      <c r="F272" s="44" t="s">
        <v>763</v>
      </c>
      <c r="G272" s="43"/>
      <c r="H272" s="43"/>
      <c r="I272" s="43"/>
      <c r="J272" s="42" t="s">
        <v>1410</v>
      </c>
      <c r="K272" s="43" t="str">
        <f>VLOOKUP(C272,'[1]뷰프레임 전체_상세'!$B:$E,4,0)</f>
        <v>F-250-466GGGL1R5-2</v>
      </c>
      <c r="L272" s="52" t="str">
        <f>IF(M272&lt;=0.9,HYPERLINK("http://www.lxhausys.co.kr/popup/rn/download/downloadPopup.jsp?from=plwindow&amp;uu=/upload/window/REPORT/LXH-EA25-048 F-250-466GGGL1R5-2.pdf","1등급"),IF(M272&lt;=1.2,HYPERLINK("http://www.lxhausys.co.kr/popup/rn/download/downloadPopup.jsp?from=plwindow&amp;uu=/upload/window/REPORT/LXH-EA25-048 F-250-466GGGL1R5-2.pdf","2등급"),IF(M272&lt;=1.8,HYPERLINK("http://www.lxhausys.co.kr/popup/rn/download/downloadPopup.jsp?from=plwindow&amp;uu=/upload/window/REPORT/LXH-EA25-048 F-250-466GGGL1R5-2.pdf","3등급"),IF(M272&lt;=2.3,HYPERLINK("http://www.lxhausys.co.kr/popup/rn/download/downloadPopup.jsp?from=plwindow&amp;uu=/upload/window/REPORT/LXH-EA25-048 F-250-466GGGL1R5-2.pdf","4등급"),IF(M272&lt;=2.8,HYPERLINK("http://www.lxhausys.co.kr/popup/rn/download/downloadPopup.jsp?from=plwindow&amp;uu=/upload/window/REPORT/LXH-EA25-048 F-250-466GGGL1R5-2.pdf","5등급"),HYPERLINK("http://www.lxhausys.co.kr/popup/rn/download/downloadPopup.jsp?from=plwindow&amp;uu=/upload/window/REPORT/LXH-TW22-015 S-124-222FFGL1R275.pdf","등급외"))))))</f>
        <v>1등급</v>
      </c>
      <c r="M272" s="45">
        <v>0.755</v>
      </c>
      <c r="N272" s="45">
        <v>0.81</v>
      </c>
      <c r="O272" s="42"/>
      <c r="P272" s="42" t="s">
        <v>22</v>
      </c>
      <c r="Q272" s="42" t="s">
        <v>19</v>
      </c>
      <c r="R272" s="42" t="s">
        <v>19</v>
      </c>
      <c r="S272" s="42" t="s">
        <v>19</v>
      </c>
      <c r="T272" s="42" t="s">
        <v>19</v>
      </c>
      <c r="U272" s="42" t="s">
        <v>19</v>
      </c>
      <c r="V272" s="42" t="s">
        <v>19</v>
      </c>
      <c r="W272" s="42" t="s">
        <v>19</v>
      </c>
      <c r="X272" s="42" t="s">
        <v>75</v>
      </c>
    </row>
    <row r="273" spans="1:24">
      <c r="A273" s="42" t="s">
        <v>673</v>
      </c>
      <c r="B273" s="43" t="s">
        <v>1051</v>
      </c>
      <c r="C273" s="42" t="s">
        <v>1347</v>
      </c>
      <c r="D273" s="42" t="s">
        <v>20</v>
      </c>
      <c r="E273" s="43" t="s">
        <v>728</v>
      </c>
      <c r="F273" s="44"/>
      <c r="G273" s="43"/>
      <c r="H273" s="43"/>
      <c r="I273" s="43"/>
      <c r="J273" s="42" t="s">
        <v>1410</v>
      </c>
      <c r="K273" s="43" t="str">
        <f>VLOOKUP(C273,'[1]뷰프레임 전체_상세'!$B:$E,4,0)</f>
        <v>F-145-226FFGL1R5-2</v>
      </c>
      <c r="L273" s="52" t="str">
        <f>IF(M273&lt;=0.9,HYPERLINK("http://www.lxhausys.co.kr/popup/rn/download/downloadPopup.jsp?from=plwindow&amp;uu=/upload/window/REPORT/LXH-EA25-049 F-145-226FFGL1R5-2.pdf","1등급"),IF(M273&lt;=1.2,HYPERLINK("http://www.lxhausys.co.kr/popup/rn/download/downloadPopup.jsp?from=plwindow&amp;uu=/upload/window/REPORT/LXH-EA25-049 F-145-226FFGL1R5-2.pdf","2등급"),IF(M273&lt;=1.8,HYPERLINK("http://www.lxhausys.co.kr/popup/rn/download/downloadPopup.jsp?from=plwindow&amp;uu=/upload/window/REPORT/LXH-EA25-049 F-145-226FFGL1R5-2.pdf","3등급"),IF(M273&lt;=2.3,HYPERLINK("http://www.lxhausys.co.kr/popup/rn/download/downloadPopup.jsp?from=plwindow&amp;uu=/upload/window/REPORT/LXH-EA25-049 F-145-226FFGL1R5-2.pdf","4등급"),IF(M273&lt;=2.8,HYPERLINK("http://www.lxhausys.co.kr/popup/rn/download/downloadPopup.jsp?from=plwindow&amp;uu=/upload/window/REPORT/LXH-EA25-049 F-145-226FFGL1R5-2.pdf","5등급"),HYPERLINK("http://www.lxhausys.co.kr/popup/rn/download/downloadPopup.jsp?from=plwindow&amp;uu=/upload/window/REPORT/LXH-TW22-015 S-124-222FFGL1R276.pdf","등급외"))))))</f>
        <v>3등급</v>
      </c>
      <c r="M273" s="45">
        <v>1.617</v>
      </c>
      <c r="N273" s="45">
        <v>1.39</v>
      </c>
      <c r="O273" s="42"/>
      <c r="P273" s="42" t="s">
        <v>103</v>
      </c>
      <c r="Q273" s="42" t="s">
        <v>19</v>
      </c>
      <c r="R273" s="42" t="s">
        <v>19</v>
      </c>
      <c r="S273" s="42" t="s">
        <v>19</v>
      </c>
      <c r="T273" s="42" t="s">
        <v>19</v>
      </c>
      <c r="U273" s="42" t="s">
        <v>19</v>
      </c>
      <c r="V273" s="42" t="s">
        <v>19</v>
      </c>
      <c r="W273" s="42" t="s">
        <v>19</v>
      </c>
      <c r="X273" s="42" t="s">
        <v>75</v>
      </c>
    </row>
    <row r="274" spans="1:24">
      <c r="A274" s="42" t="s">
        <v>677</v>
      </c>
      <c r="B274" s="43" t="s">
        <v>1052</v>
      </c>
      <c r="C274" s="42" t="s">
        <v>1348</v>
      </c>
      <c r="D274" s="42" t="s">
        <v>20</v>
      </c>
      <c r="E274" s="43" t="s">
        <v>731</v>
      </c>
      <c r="F274" s="44" t="s">
        <v>763</v>
      </c>
      <c r="G274" s="43"/>
      <c r="H274" s="43"/>
      <c r="I274" s="43"/>
      <c r="J274" s="42" t="s">
        <v>1410</v>
      </c>
      <c r="K274" s="43" t="str">
        <f>VLOOKUP(C274,'[1]뷰프레임 전체_상세'!$B:$E,4,0)</f>
        <v>F-285-466GGGL1R5-2</v>
      </c>
      <c r="L274" s="52" t="str">
        <f>IF(M274&lt;=0.9,HYPERLINK("http://www.lxhausys.co.kr/popup/rn/download/downloadPopup.jsp?from=plwindow&amp;uu=/upload/window/REPORT/LXH-EA25-050 F-285-466GGGL1R5-2.pdf","1등급"),IF(M274&lt;=1.2,HYPERLINK("http://www.lxhausys.co.kr/popup/rn/download/downloadPopup.jsp?from=plwindow&amp;uu=/upload/window/REPORT/LXH-EA25-050 F-285-466GGGL1R5-2.pdf","2등급"),IF(M274&lt;=1.8,HYPERLINK("http://www.lxhausys.co.kr/popup/rn/download/downloadPopup.jsp?from=plwindow&amp;uu=/upload/window/REPORT/LXH-EA25-050 F-285-466GGGL1R5-2.pdf","3등급"),IF(M274&lt;=2.3,HYPERLINK("http://www.lxhausys.co.kr/popup/rn/download/downloadPopup.jsp?from=plwindow&amp;uu=/upload/window/REPORT/LXH-EA25-050 F-285-466GGGL1R5-2.pdf","4등급"),IF(M274&lt;=2.8,HYPERLINK("http://www.lxhausys.co.kr/popup/rn/download/downloadPopup.jsp?from=plwindow&amp;uu=/upload/window/REPORT/LXH-EA25-050 F-285-466GGGL1R5-2.pdf","5등급"),HYPERLINK("http://www.lxhausys.co.kr/popup/rn/download/downloadPopup.jsp?from=plwindow&amp;uu=/upload/window/REPORT/LXH-TW22-015 S-124-222FFGL1R277.pdf","등급외"))))))</f>
        <v>1등급</v>
      </c>
      <c r="M274" s="45">
        <v>0.748</v>
      </c>
      <c r="N274" s="45">
        <v>0.81</v>
      </c>
      <c r="O274" s="42"/>
      <c r="P274" s="42" t="s">
        <v>22</v>
      </c>
      <c r="Q274" s="42" t="s">
        <v>19</v>
      </c>
      <c r="R274" s="42" t="s">
        <v>19</v>
      </c>
      <c r="S274" s="42" t="s">
        <v>19</v>
      </c>
      <c r="T274" s="42" t="s">
        <v>19</v>
      </c>
      <c r="U274" s="42" t="s">
        <v>19</v>
      </c>
      <c r="V274" s="42" t="s">
        <v>19</v>
      </c>
      <c r="W274" s="42" t="s">
        <v>19</v>
      </c>
      <c r="X274" s="42" t="s">
        <v>75</v>
      </c>
    </row>
    <row r="275" spans="1:24">
      <c r="A275" s="42" t="s">
        <v>708</v>
      </c>
      <c r="B275" s="43" t="s">
        <v>1053</v>
      </c>
      <c r="C275" s="42" t="s">
        <v>1349</v>
      </c>
      <c r="D275" s="42" t="s">
        <v>20</v>
      </c>
      <c r="E275" s="43" t="s">
        <v>729</v>
      </c>
      <c r="F275" s="44"/>
      <c r="G275" s="43"/>
      <c r="H275" s="43"/>
      <c r="I275" s="43"/>
      <c r="J275" s="42" t="s">
        <v>1410</v>
      </c>
      <c r="K275" s="43" t="str">
        <f>VLOOKUP(C275,'[1]뷰프레임 전체_상세'!$B:$E,4,0)</f>
        <v>F-130I-226FFGL1R5-2</v>
      </c>
      <c r="L275" s="52" t="str">
        <f>IF(M275&lt;=0.9,HYPERLINK("http://www.lxhausys.co.kr/popup/rn/download/downloadPopup.jsp?from=plwindow&amp;uu=/upload/window/REPORT/LXH-EA25-051 F-130I-226FFGL1R5-2.pdf","1등급"),IF(M275&lt;=1.2,HYPERLINK("http://www.lxhausys.co.kr/popup/rn/download/downloadPopup.jsp?from=plwindow&amp;uu=/upload/window/REPORT/LXH-EA25-051 F-130I-226FFGL1R5-2.pdf","2등급"),IF(M275&lt;=1.8,HYPERLINK("http://www.lxhausys.co.kr/popup/rn/download/downloadPopup.jsp?from=plwindow&amp;uu=/upload/window/REPORT/LXH-EA25-051 F-130I-226FFGL1R5-2.pdf","3등급"),IF(M275&lt;=2.3,HYPERLINK("http://www.lxhausys.co.kr/popup/rn/download/downloadPopup.jsp?from=plwindow&amp;uu=/upload/window/REPORT/LXH-EA25-051 F-130I-226FFGL1R5-2.pdf","4등급"),IF(M275&lt;=2.8,HYPERLINK("http://www.lxhausys.co.kr/popup/rn/download/downloadPopup.jsp?from=plwindow&amp;uu=/upload/window/REPORT/LXH-EA25-051 F-130I-226FFGL1R5-2.pdf","5등급"),HYPERLINK("http://www.lxhausys.co.kr/popup/rn/download/downloadPopup.jsp?from=plwindow&amp;uu=/upload/window/REPORT/LXH-TW22-015 S-124-222FFGL1R278.pdf","등급외"))))))</f>
        <v>3등급</v>
      </c>
      <c r="M275" s="45">
        <v>1.6559999999999999</v>
      </c>
      <c r="N275" s="45">
        <v>1.34</v>
      </c>
      <c r="O275" s="42"/>
      <c r="P275" s="42" t="s">
        <v>103</v>
      </c>
      <c r="Q275" s="42" t="s">
        <v>19</v>
      </c>
      <c r="R275" s="42" t="s">
        <v>19</v>
      </c>
      <c r="S275" s="42" t="s">
        <v>19</v>
      </c>
      <c r="T275" s="42" t="s">
        <v>19</v>
      </c>
      <c r="U275" s="42" t="s">
        <v>19</v>
      </c>
      <c r="V275" s="42" t="s">
        <v>19</v>
      </c>
      <c r="W275" s="42" t="s">
        <v>19</v>
      </c>
      <c r="X275" s="42" t="s">
        <v>75</v>
      </c>
    </row>
    <row r="276" spans="1:24">
      <c r="A276" s="42" t="s">
        <v>672</v>
      </c>
      <c r="B276" s="43" t="s">
        <v>1054</v>
      </c>
      <c r="C276" s="42" t="s">
        <v>1350</v>
      </c>
      <c r="D276" s="42" t="s">
        <v>20</v>
      </c>
      <c r="E276" s="43" t="s">
        <v>729</v>
      </c>
      <c r="F276" s="44"/>
      <c r="G276" s="43"/>
      <c r="H276" s="43"/>
      <c r="I276" s="43"/>
      <c r="J276" s="42" t="s">
        <v>1410</v>
      </c>
      <c r="K276" s="43" t="str">
        <f>VLOOKUP(C276,'[1]뷰프레임 전체_상세'!$B:$E,4,0)</f>
        <v>F-140-226FFGL1R5-2</v>
      </c>
      <c r="L276" s="52" t="str">
        <f>IF(M276&lt;=0.9,HYPERLINK("http://www.lxhausys.co.kr/popup/rn/download/downloadPopup.jsp?from=plwindow&amp;uu=/upload/window/REPORT/LXH-EA25-052 F-140-226FFGL1R5-2.pdf","1등급"),IF(M276&lt;=1.2,HYPERLINK("http://www.lxhausys.co.kr/popup/rn/download/downloadPopup.jsp?from=plwindow&amp;uu=/upload/window/REPORT/LXH-EA25-052 F-140-226FFGL1R5-2.pdf","2등급"),IF(M276&lt;=1.8,HYPERLINK("http://www.lxhausys.co.kr/popup/rn/download/downloadPopup.jsp?from=plwindow&amp;uu=/upload/window/REPORT/LXH-EA25-052 F-140-226FFGL1R5-2.pdf","3등급"),IF(M276&lt;=2.3,HYPERLINK("http://www.lxhausys.co.kr/popup/rn/download/downloadPopup.jsp?from=plwindow&amp;uu=/upload/window/REPORT/LXH-EA25-052 F-140-226FFGL1R5-2.pdf","4등급"),IF(M276&lt;=2.8,HYPERLINK("http://www.lxhausys.co.kr/popup/rn/download/downloadPopup.jsp?from=plwindow&amp;uu=/upload/window/REPORT/LXH-EA25-052 F-140-226FFGL1R5-2.pdf","5등급"),HYPERLINK("http://www.lxhausys.co.kr/popup/rn/download/downloadPopup.jsp?from=plwindow&amp;uu=/upload/window/REPORT/LXH-TW22-015 S-124-222FFGL1R279.pdf","등급외"))))))</f>
        <v>3등급</v>
      </c>
      <c r="M276" s="45">
        <v>1.599</v>
      </c>
      <c r="N276" s="45">
        <v>1.44</v>
      </c>
      <c r="O276" s="42"/>
      <c r="P276" s="42" t="s">
        <v>103</v>
      </c>
      <c r="Q276" s="42" t="s">
        <v>19</v>
      </c>
      <c r="R276" s="42" t="s">
        <v>19</v>
      </c>
      <c r="S276" s="42" t="s">
        <v>19</v>
      </c>
      <c r="T276" s="42" t="s">
        <v>19</v>
      </c>
      <c r="U276" s="42" t="s">
        <v>19</v>
      </c>
      <c r="V276" s="42" t="s">
        <v>19</v>
      </c>
      <c r="W276" s="42" t="s">
        <v>19</v>
      </c>
      <c r="X276" s="42" t="s">
        <v>75</v>
      </c>
    </row>
    <row r="277" spans="1:24">
      <c r="A277" s="42" t="s">
        <v>676</v>
      </c>
      <c r="B277" s="43" t="s">
        <v>1055</v>
      </c>
      <c r="C277" s="42" t="s">
        <v>1351</v>
      </c>
      <c r="D277" s="42" t="s">
        <v>20</v>
      </c>
      <c r="E277" s="43" t="s">
        <v>731</v>
      </c>
      <c r="F277" s="44" t="s">
        <v>763</v>
      </c>
      <c r="G277" s="43"/>
      <c r="H277" s="43"/>
      <c r="I277" s="43"/>
      <c r="J277" s="42" t="s">
        <v>1410</v>
      </c>
      <c r="K277" s="43" t="str">
        <f>VLOOKUP(C277,'[1]뷰프레임 전체_상세'!$B:$E,4,0)</f>
        <v>F-265-466GGGL1R5-2</v>
      </c>
      <c r="L277" s="52" t="str">
        <f>IF(M277&lt;=0.9,HYPERLINK("http://www.lxhausys.co.kr/popup/rn/download/downloadPopup.jsp?from=plwindow&amp;uu=/upload/window/REPORT/LXH-EA25-053 F-265-466GGGL1R5-2.pdf","1등급"),IF(M277&lt;=1.2,HYPERLINK("http://www.lxhausys.co.kr/popup/rn/download/downloadPopup.jsp?from=plwindow&amp;uu=/upload/window/REPORT/LXH-EA25-053 F-265-466GGGL1R5-2.pdf","2등급"),IF(M277&lt;=1.8,HYPERLINK("http://www.lxhausys.co.kr/popup/rn/download/downloadPopup.jsp?from=plwindow&amp;uu=/upload/window/REPORT/LXH-EA25-053 F-265-466GGGL1R5-2.pdf","3등급"),IF(M277&lt;=2.3,HYPERLINK("http://www.lxhausys.co.kr/popup/rn/download/downloadPopup.jsp?from=plwindow&amp;uu=/upload/window/REPORT/LXH-EA25-053 F-265-466GGGL1R5-2.pdf","4등급"),IF(M277&lt;=2.8,HYPERLINK("http://www.lxhausys.co.kr/popup/rn/download/downloadPopup.jsp?from=plwindow&amp;uu=/upload/window/REPORT/LXH-EA25-053 F-265-466GGGL1R5-2.pdf","5등급"),HYPERLINK("http://www.lxhausys.co.kr/popup/rn/download/downloadPopup.jsp?from=plwindow&amp;uu=/upload/window/REPORT/LXH-TW22-015 S-124-222FFGL1R280.pdf","등급외"))))))</f>
        <v>1등급</v>
      </c>
      <c r="M277" s="45">
        <v>0.74199999999999999</v>
      </c>
      <c r="N277" s="45">
        <v>0.86</v>
      </c>
      <c r="O277" s="42"/>
      <c r="P277" s="42" t="s">
        <v>22</v>
      </c>
      <c r="Q277" s="42" t="s">
        <v>19</v>
      </c>
      <c r="R277" s="42" t="s">
        <v>19</v>
      </c>
      <c r="S277" s="42" t="s">
        <v>19</v>
      </c>
      <c r="T277" s="42" t="s">
        <v>19</v>
      </c>
      <c r="U277" s="42" t="s">
        <v>19</v>
      </c>
      <c r="V277" s="42" t="s">
        <v>19</v>
      </c>
      <c r="W277" s="42" t="s">
        <v>19</v>
      </c>
      <c r="X277" s="42" t="s">
        <v>75</v>
      </c>
    </row>
    <row r="278" spans="1:24">
      <c r="A278" s="42" t="s">
        <v>706</v>
      </c>
      <c r="B278" s="43" t="s">
        <v>1056</v>
      </c>
      <c r="C278" s="42" t="s">
        <v>1352</v>
      </c>
      <c r="D278" s="42" t="s">
        <v>20</v>
      </c>
      <c r="E278" s="43" t="s">
        <v>730</v>
      </c>
      <c r="F278" s="44" t="s">
        <v>743</v>
      </c>
      <c r="G278" s="43"/>
      <c r="H278" s="43"/>
      <c r="I278" s="43"/>
      <c r="J278" s="42" t="s">
        <v>1410</v>
      </c>
      <c r="K278" s="43" t="str">
        <f>VLOOKUP(C278,'[1]뷰프레임 전체_상세'!$B:$E,4,0)</f>
        <v>F-250I-466UGGG2A5</v>
      </c>
      <c r="L278" s="52" t="str">
        <f>IF(M278&lt;=0.9,HYPERLINK("http://www.lxhausys.co.kr/popup/rn/download/downloadPopup.jsp?from=plwindow&amp;uu=/upload/window/REPORT/LXH-EA25-041 F-250I-466UGGG2A5.pdf","1등급"),IF(M278&lt;=1.2,HYPERLINK("http://www.lxhausys.co.kr/popup/rn/download/downloadPopup.jsp?from=plwindow&amp;uu=/upload/window/REPORT/LXH-EA25-041 F-250I-466UGGG2A5.pdf","2등급"),IF(M278&lt;=1.8,HYPERLINK("http://www.lxhausys.co.kr/popup/rn/download/downloadPopup.jsp?from=plwindow&amp;uu=/upload/window/REPORT/LXH-EA25-041 F-250I-466UGGG2A5.pdf","3등급"),IF(M278&lt;=2.3,HYPERLINK("http://www.lxhausys.co.kr/popup/rn/download/downloadPopup.jsp?from=plwindow&amp;uu=/upload/window/REPORT/LXH-EA25-041 F-250I-466UGGG2A5.pdf","4등급"),IF(M278&lt;=2.8,HYPERLINK("http://www.lxhausys.co.kr/popup/rn/download/downloadPopup.jsp?from=plwindow&amp;uu=/upload/window/REPORT/LXH-EA25-041 F-250I-466UGGG2A5.pdf","5등급"),HYPERLINK("http://www.lxhausys.co.kr/popup/rn/download/downloadPopup.jsp?from=plwindow&amp;uu=/upload/window/REPORT/LXH-TW22-015 S-124-222FFGL1R281.pdf","등급외"))))))</f>
        <v>1등급</v>
      </c>
      <c r="M278" s="45">
        <v>0.873</v>
      </c>
      <c r="N278" s="45">
        <v>0.78</v>
      </c>
      <c r="O278" s="42"/>
      <c r="P278" s="42" t="s">
        <v>22</v>
      </c>
      <c r="Q278" s="42" t="s">
        <v>19</v>
      </c>
      <c r="R278" s="42" t="s">
        <v>19</v>
      </c>
      <c r="S278" s="42" t="s">
        <v>19</v>
      </c>
      <c r="T278" s="42" t="s">
        <v>19</v>
      </c>
      <c r="U278" s="42" t="s">
        <v>19</v>
      </c>
      <c r="V278" s="42" t="s">
        <v>19</v>
      </c>
      <c r="W278" s="42" t="s">
        <v>19</v>
      </c>
      <c r="X278" s="42" t="s">
        <v>75</v>
      </c>
    </row>
    <row r="279" spans="1:24">
      <c r="A279" s="42" t="s">
        <v>708</v>
      </c>
      <c r="B279" s="43" t="s">
        <v>1057</v>
      </c>
      <c r="C279" s="42" t="s">
        <v>1353</v>
      </c>
      <c r="D279" s="42" t="s">
        <v>20</v>
      </c>
      <c r="E279" s="43" t="s">
        <v>714</v>
      </c>
      <c r="F279" s="44"/>
      <c r="G279" s="43"/>
      <c r="H279" s="43"/>
      <c r="I279" s="43"/>
      <c r="J279" s="42" t="s">
        <v>1410</v>
      </c>
      <c r="K279" s="43" t="str">
        <f>VLOOKUP(C279,'[1]뷰프레임 전체_상세'!$B:$E,4,0)</f>
        <v>F-130I-226FFUG1A5</v>
      </c>
      <c r="L279" s="52" t="str">
        <f>IF(M279&lt;=0.9,HYPERLINK("http://www.lxhausys.co.kr/popup/rn/download/downloadPopup.jsp?from=plwindow&amp;uu=/upload/window/REPORT/LXH-EA25-042 F-130I-226FFUG1A5.pdf","1등급"),IF(M279&lt;=1.2,HYPERLINK("http://www.lxhausys.co.kr/popup/rn/download/downloadPopup.jsp?from=plwindow&amp;uu=/upload/window/REPORT/LXH-EA25-042 F-130I-226FFUG1A5.pdf","2등급"),IF(M279&lt;=1.8,HYPERLINK("http://www.lxhausys.co.kr/popup/rn/download/downloadPopup.jsp?from=plwindow&amp;uu=/upload/window/REPORT/LXH-EA25-042 F-130I-226FFUG1A5.pdf","3등급"),IF(M279&lt;=2.3,HYPERLINK("http://www.lxhausys.co.kr/popup/rn/download/downloadPopup.jsp?from=plwindow&amp;uu=/upload/window/REPORT/LXH-EA25-042 F-130I-226FFUG1A5.pdf","4등급"),IF(M279&lt;=2.8,HYPERLINK("http://www.lxhausys.co.kr/popup/rn/download/downloadPopup.jsp?from=plwindow&amp;uu=/upload/window/REPORT/LXH-EA25-042 F-130I-226FFUG1A5.pdf","5등급"),HYPERLINK("http://www.lxhausys.co.kr/popup/rn/download/downloadPopup.jsp?from=plwindow&amp;uu=/upload/window/REPORT/LXH-TW22-015 S-124-222FFGL1R282.pdf","등급외"))))))</f>
        <v>3등급</v>
      </c>
      <c r="M279" s="45">
        <v>1.774</v>
      </c>
      <c r="N279" s="45">
        <v>1.41</v>
      </c>
      <c r="O279" s="42"/>
      <c r="P279" s="42" t="s">
        <v>103</v>
      </c>
      <c r="Q279" s="42" t="s">
        <v>19</v>
      </c>
      <c r="R279" s="42" t="s">
        <v>19</v>
      </c>
      <c r="S279" s="42" t="s">
        <v>19</v>
      </c>
      <c r="T279" s="42" t="s">
        <v>19</v>
      </c>
      <c r="U279" s="42" t="s">
        <v>19</v>
      </c>
      <c r="V279" s="42" t="s">
        <v>19</v>
      </c>
      <c r="W279" s="42" t="s">
        <v>19</v>
      </c>
      <c r="X279" s="42" t="s">
        <v>75</v>
      </c>
    </row>
    <row r="280" spans="1:24">
      <c r="A280" s="42" t="s">
        <v>709</v>
      </c>
      <c r="B280" s="43" t="s">
        <v>1058</v>
      </c>
      <c r="C280" s="42" t="s">
        <v>1354</v>
      </c>
      <c r="D280" s="42" t="s">
        <v>20</v>
      </c>
      <c r="E280" s="43" t="s">
        <v>723</v>
      </c>
      <c r="F280" s="44"/>
      <c r="G280" s="43"/>
      <c r="H280" s="43"/>
      <c r="I280" s="43"/>
      <c r="J280" s="42" t="s">
        <v>1410</v>
      </c>
      <c r="K280" s="43" t="str">
        <f>VLOOKUP(C280,'[1]뷰프레임 전체_상세'!$B:$E,4,0)</f>
        <v>F-130IS-228FFGG1A5</v>
      </c>
      <c r="L280" s="52" t="str">
        <f>IF(M280&lt;=0.9,HYPERLINK("http://www.lxhausys.co.kr/popup/rn/download/downloadPopup.jsp?from=plwindow&amp;uu=/upload/window/REPORT/LXH-EA25-054 F-130IS-228FFGG1A5.pdf","1등급"),IF(M280&lt;=1.2,HYPERLINK("http://www.lxhausys.co.kr/popup/rn/download/downloadPopup.jsp?from=plwindow&amp;uu=/upload/window/REPORT/LXH-EA25-054 F-130IS-228FFGG1A5.pdf","2등급"),IF(M280&lt;=1.8,HYPERLINK("http://www.lxhausys.co.kr/popup/rn/download/downloadPopup.jsp?from=plwindow&amp;uu=/upload/window/REPORT/LXH-EA25-054 F-130IS-228FFGG1A5.pdf","3등급"),IF(M280&lt;=2.3,HYPERLINK("http://www.lxhausys.co.kr/popup/rn/download/downloadPopup.jsp?from=plwindow&amp;uu=/upload/window/REPORT/LXH-EA25-054 F-130IS-228FFGG1A5.pdf","4등급"),IF(M280&lt;=2.8,HYPERLINK("http://www.lxhausys.co.kr/popup/rn/download/downloadPopup.jsp?from=plwindow&amp;uu=/upload/window/REPORT/LXH-EA25-054 F-130IS-228FFGG1A5.pdf","5등급"),HYPERLINK("http://www.lxhausys.co.kr/popup/rn/download/downloadPopup.jsp?from=plwindow&amp;uu=/upload/window/REPORT/LXH-TW22-015 S-124-222FFGL1R283.pdf","등급외"))))))</f>
        <v>5등급</v>
      </c>
      <c r="M280" s="45">
        <v>2.698</v>
      </c>
      <c r="N280" s="45">
        <v>1.32</v>
      </c>
      <c r="O280" s="42"/>
      <c r="P280" s="42" t="s">
        <v>103</v>
      </c>
      <c r="Q280" s="42" t="s">
        <v>19</v>
      </c>
      <c r="R280" s="42" t="s">
        <v>19</v>
      </c>
      <c r="S280" s="42" t="s">
        <v>19</v>
      </c>
      <c r="T280" s="42" t="s">
        <v>19</v>
      </c>
      <c r="U280" s="42" t="s">
        <v>19</v>
      </c>
      <c r="V280" s="42" t="s">
        <v>19</v>
      </c>
      <c r="W280" s="42" t="s">
        <v>19</v>
      </c>
      <c r="X280" s="42" t="s">
        <v>75</v>
      </c>
    </row>
    <row r="281" spans="1:24">
      <c r="A281" s="42" t="s">
        <v>710</v>
      </c>
      <c r="B281" s="43" t="s">
        <v>1059</v>
      </c>
      <c r="C281" s="42" t="s">
        <v>1355</v>
      </c>
      <c r="D281" s="42" t="s">
        <v>20</v>
      </c>
      <c r="E281" s="43" t="s">
        <v>735</v>
      </c>
      <c r="F281" s="44" t="s">
        <v>761</v>
      </c>
      <c r="G281" s="43"/>
      <c r="H281" s="43"/>
      <c r="I281" s="43"/>
      <c r="J281" s="42" t="s">
        <v>1410</v>
      </c>
      <c r="K281" s="43" t="str">
        <f>VLOOKUP(C281,'[1]뷰프레임 전체_상세'!$B:$E,4,0)</f>
        <v>F-250IS-488GGGS2A5</v>
      </c>
      <c r="L281" s="52" t="str">
        <f>IF(M281&lt;=0.9,HYPERLINK("http://www.lxhausys.co.kr/popup/rn/download/downloadPopup.jsp?from=plwindow&amp;uu=/upload/window/REPORT/LXH-EA25-055 F-250IS-488GGGS2A5.pdf","1등급"),IF(M281&lt;=1.2,HYPERLINK("http://www.lxhausys.co.kr/popup/rn/download/downloadPopup.jsp?from=plwindow&amp;uu=/upload/window/REPORT/LXH-EA25-055 F-250IS-488GGGS2A5.pdf","2등급"),IF(M281&lt;=1.8,HYPERLINK("http://www.lxhausys.co.kr/popup/rn/download/downloadPopup.jsp?from=plwindow&amp;uu=/upload/window/REPORT/LXH-EA25-055 F-250IS-488GGGS2A5.pdf","3등급"),IF(M281&lt;=2.3,HYPERLINK("http://www.lxhausys.co.kr/popup/rn/download/downloadPopup.jsp?from=plwindow&amp;uu=/upload/window/REPORT/LXH-EA25-055 F-250IS-488GGGS2A5.pdf","4등급"),IF(M281&lt;=2.8,HYPERLINK("http://www.lxhausys.co.kr/popup/rn/download/downloadPopup.jsp?from=plwindow&amp;uu=/upload/window/REPORT/LXH-EA25-055 F-250IS-488GGGS2A5.pdf","5등급"),HYPERLINK("http://www.lxhausys.co.kr/popup/rn/download/downloadPopup.jsp?from=plwindow&amp;uu=/upload/window/REPORT/LXH-TW22-015 S-124-222FFGL1R284.pdf","등급외"))))))</f>
        <v>1등급</v>
      </c>
      <c r="M281" s="45">
        <v>0.85</v>
      </c>
      <c r="N281" s="45">
        <v>0.77</v>
      </c>
      <c r="O281" s="42"/>
      <c r="P281" s="42" t="s">
        <v>22</v>
      </c>
      <c r="Q281" s="42" t="s">
        <v>19</v>
      </c>
      <c r="R281" s="42" t="s">
        <v>19</v>
      </c>
      <c r="S281" s="42" t="s">
        <v>19</v>
      </c>
      <c r="T281" s="42" t="s">
        <v>19</v>
      </c>
      <c r="U281" s="42" t="s">
        <v>19</v>
      </c>
      <c r="V281" s="42" t="s">
        <v>19</v>
      </c>
      <c r="W281" s="42" t="s">
        <v>19</v>
      </c>
      <c r="X281" s="42" t="s">
        <v>75</v>
      </c>
    </row>
    <row r="282" spans="1:24">
      <c r="A282" s="42" t="s">
        <v>709</v>
      </c>
      <c r="B282" s="43" t="s">
        <v>1060</v>
      </c>
      <c r="C282" s="42" t="s">
        <v>1356</v>
      </c>
      <c r="D282" s="42" t="s">
        <v>20</v>
      </c>
      <c r="E282" s="43" t="s">
        <v>713</v>
      </c>
      <c r="F282" s="44"/>
      <c r="G282" s="43"/>
      <c r="H282" s="43"/>
      <c r="I282" s="43"/>
      <c r="J282" s="42" t="s">
        <v>1410</v>
      </c>
      <c r="K282" s="43" t="str">
        <f>VLOOKUP(C282,'[1]뷰프레임 전체_상세'!$B:$E,4,0)</f>
        <v>F-130IS-226FFGG1A5</v>
      </c>
      <c r="L282" s="52" t="str">
        <f>IF(M282&lt;=0.9,HYPERLINK("http://www.lxhausys.co.kr/popup/rn/download/downloadPopup.jsp?from=plwindow&amp;uu=/upload/window/REPORT/LXH-EA25-056 F-130IS-226FFGG1A5.pdf","1등급"),IF(M282&lt;=1.2,HYPERLINK("http://www.lxhausys.co.kr/popup/rn/download/downloadPopup.jsp?from=plwindow&amp;uu=/upload/window/REPORT/LXH-EA25-056 F-130IS-226FFGG1A5.pdf","2등급"),IF(M282&lt;=1.8,HYPERLINK("http://www.lxhausys.co.kr/popup/rn/download/downloadPopup.jsp?from=plwindow&amp;uu=/upload/window/REPORT/LXH-EA25-056 F-130IS-226FFGG1A5.pdf","3등급"),IF(M282&lt;=2.3,HYPERLINK("http://www.lxhausys.co.kr/popup/rn/download/downloadPopup.jsp?from=plwindow&amp;uu=/upload/window/REPORT/LXH-EA25-056 F-130IS-226FFGG1A5.pdf","4등급"),IF(M282&lt;=2.8,HYPERLINK("http://www.lxhausys.co.kr/popup/rn/download/downloadPopup.jsp?from=plwindow&amp;uu=/upload/window/REPORT/LXH-EA25-056 F-130IS-226FFGG1A5.pdf","5등급"),HYPERLINK("http://www.lxhausys.co.kr/popup/rn/download/downloadPopup.jsp?from=plwindow&amp;uu=/upload/window/REPORT/LXH-TW22-015 S-124-222FFGL1R285.pdf","등급외"))))))</f>
        <v>5등급</v>
      </c>
      <c r="M282" s="45">
        <v>2.7370000000000001</v>
      </c>
      <c r="N282" s="45">
        <v>1.5</v>
      </c>
      <c r="O282" s="42"/>
      <c r="P282" s="42" t="s">
        <v>103</v>
      </c>
      <c r="Q282" s="42" t="s">
        <v>19</v>
      </c>
      <c r="R282" s="42" t="s">
        <v>19</v>
      </c>
      <c r="S282" s="42" t="s">
        <v>19</v>
      </c>
      <c r="T282" s="42" t="s">
        <v>19</v>
      </c>
      <c r="U282" s="42" t="s">
        <v>19</v>
      </c>
      <c r="V282" s="42" t="s">
        <v>19</v>
      </c>
      <c r="W282" s="42" t="s">
        <v>19</v>
      </c>
      <c r="X282" s="42" t="s">
        <v>75</v>
      </c>
    </row>
    <row r="283" spans="1:24">
      <c r="A283" s="42" t="s">
        <v>711</v>
      </c>
      <c r="B283" s="43" t="s">
        <v>1061</v>
      </c>
      <c r="C283" s="42" t="s">
        <v>1357</v>
      </c>
      <c r="D283" s="42" t="s">
        <v>20</v>
      </c>
      <c r="E283" s="43" t="s">
        <v>735</v>
      </c>
      <c r="F283" s="44" t="s">
        <v>761</v>
      </c>
      <c r="G283" s="43"/>
      <c r="H283" s="43"/>
      <c r="I283" s="43"/>
      <c r="J283" s="42" t="s">
        <v>1410</v>
      </c>
      <c r="K283" s="43" t="str">
        <f>VLOOKUP(C283,'[1]뷰프레임 전체_상세'!$B:$E,4,0)</f>
        <v>F-270IS-488GGGS2A5</v>
      </c>
      <c r="L283" s="52" t="str">
        <f>IF(M283&lt;=0.9,HYPERLINK("http://www.lxhausys.co.kr/popup/rn/download/downloadPopup.jsp?from=plwindow&amp;uu=/upload/window/REPORT/LXH-EA25-057 F-270IS-488GGGS2A5.pdf","1등급"),IF(M283&lt;=1.2,HYPERLINK("http://www.lxhausys.co.kr/popup/rn/download/downloadPopup.jsp?from=plwindow&amp;uu=/upload/window/REPORT/LXH-EA25-057 F-270IS-488GGGS2A5.pdf","2등급"),IF(M283&lt;=1.8,HYPERLINK("http://www.lxhausys.co.kr/popup/rn/download/downloadPopup.jsp?from=plwindow&amp;uu=/upload/window/REPORT/LXH-EA25-057 F-270IS-488GGGS2A5.pdf","3등급"),IF(M283&lt;=2.3,HYPERLINK("http://www.lxhausys.co.kr/popup/rn/download/downloadPopup.jsp?from=plwindow&amp;uu=/upload/window/REPORT/LXH-EA25-057 F-270IS-488GGGS2A5.pdf","4등급"),IF(M283&lt;=2.8,HYPERLINK("http://www.lxhausys.co.kr/popup/rn/download/downloadPopup.jsp?from=plwindow&amp;uu=/upload/window/REPORT/LXH-EA25-057 F-270IS-488GGGS2A5.pdf","5등급"),HYPERLINK("http://www.lxhausys.co.kr/popup/rn/download/downloadPopup.jsp?from=plwindow&amp;uu=/upload/window/REPORT/LXH-TW22-015 S-124-222FFGL1R286.pdf","등급외"))))))</f>
        <v>1등급</v>
      </c>
      <c r="M283" s="45">
        <v>0.84399999999999997</v>
      </c>
      <c r="N283" s="45">
        <v>0.81</v>
      </c>
      <c r="O283" s="42"/>
      <c r="P283" s="42" t="s">
        <v>22</v>
      </c>
      <c r="Q283" s="42" t="s">
        <v>19</v>
      </c>
      <c r="R283" s="42" t="s">
        <v>19</v>
      </c>
      <c r="S283" s="42" t="s">
        <v>19</v>
      </c>
      <c r="T283" s="42" t="s">
        <v>19</v>
      </c>
      <c r="U283" s="42" t="s">
        <v>19</v>
      </c>
      <c r="V283" s="42" t="s">
        <v>19</v>
      </c>
      <c r="W283" s="42" t="s">
        <v>19</v>
      </c>
      <c r="X283" s="42" t="s">
        <v>75</v>
      </c>
    </row>
    <row r="284" spans="1:24">
      <c r="A284" s="42" t="s">
        <v>709</v>
      </c>
      <c r="B284" s="43" t="s">
        <v>1062</v>
      </c>
      <c r="C284" s="42" t="s">
        <v>1358</v>
      </c>
      <c r="D284" s="42" t="s">
        <v>20</v>
      </c>
      <c r="E284" s="43" t="s">
        <v>720</v>
      </c>
      <c r="F284" s="44"/>
      <c r="G284" s="43"/>
      <c r="H284" s="43"/>
      <c r="I284" s="43"/>
      <c r="J284" s="42" t="s">
        <v>1410</v>
      </c>
      <c r="K284" s="43" t="str">
        <f>VLOOKUP(C284,'[1]뷰프레임 전체_상세'!$B:$E,4,0)</f>
        <v>F-130IS-224FFGG1A5</v>
      </c>
      <c r="L284" s="52" t="str">
        <f>IF(M284&lt;=0.9,HYPERLINK("http://www.lxhausys.co.kr/popup/rn/download/downloadPopup.jsp?from=plwindow&amp;uu=/upload/window/REPORT/LXH-EA25-058 F-130IS-224FFGG1A5.pdf","1등급"),IF(M284&lt;=1.2,HYPERLINK("http://www.lxhausys.co.kr/popup/rn/download/downloadPopup.jsp?from=plwindow&amp;uu=/upload/window/REPORT/LXH-EA25-058 F-130IS-224FFGG1A5.pdf","2등급"),IF(M284&lt;=1.8,HYPERLINK("http://www.lxhausys.co.kr/popup/rn/download/downloadPopup.jsp?from=plwindow&amp;uu=/upload/window/REPORT/LXH-EA25-058 F-130IS-224FFGG1A5.pdf","3등급"),IF(M284&lt;=2.3,HYPERLINK("http://www.lxhausys.co.kr/popup/rn/download/downloadPopup.jsp?from=plwindow&amp;uu=/upload/window/REPORT/LXH-EA25-058 F-130IS-224FFGG1A5.pdf","4등급"),IF(M284&lt;=2.8,HYPERLINK("http://www.lxhausys.co.kr/popup/rn/download/downloadPopup.jsp?from=plwindow&amp;uu=/upload/window/REPORT/LXH-EA25-058 F-130IS-224FFGG1A5.pdf","5등급"),HYPERLINK("http://www.lxhausys.co.kr/popup/rn/download/downloadPopup.jsp?from=plwindow&amp;uu=/upload/window/REPORT/LXH-TW22-015 S-124-222FFGL1R287.pdf","등급외"))))))</f>
        <v>5등급</v>
      </c>
      <c r="M284" s="45">
        <v>2.7879999999999998</v>
      </c>
      <c r="N284" s="45">
        <v>1.43</v>
      </c>
      <c r="O284" s="42"/>
      <c r="P284" s="42" t="s">
        <v>103</v>
      </c>
      <c r="Q284" s="42" t="s">
        <v>19</v>
      </c>
      <c r="R284" s="42" t="s">
        <v>19</v>
      </c>
      <c r="S284" s="42" t="s">
        <v>19</v>
      </c>
      <c r="T284" s="42" t="s">
        <v>19</v>
      </c>
      <c r="U284" s="42" t="s">
        <v>19</v>
      </c>
      <c r="V284" s="42" t="s">
        <v>19</v>
      </c>
      <c r="W284" s="42" t="s">
        <v>19</v>
      </c>
      <c r="X284" s="42" t="s">
        <v>75</v>
      </c>
    </row>
    <row r="285" spans="1:24">
      <c r="A285" s="42" t="s">
        <v>711</v>
      </c>
      <c r="B285" s="43" t="s">
        <v>1063</v>
      </c>
      <c r="C285" s="42" t="s">
        <v>1359</v>
      </c>
      <c r="D285" s="42" t="s">
        <v>20</v>
      </c>
      <c r="E285" s="43" t="s">
        <v>739</v>
      </c>
      <c r="F285" s="44" t="s">
        <v>760</v>
      </c>
      <c r="G285" s="43"/>
      <c r="H285" s="43"/>
      <c r="I285" s="43"/>
      <c r="J285" s="42" t="s">
        <v>1410</v>
      </c>
      <c r="K285" s="43" t="str">
        <f>VLOOKUP(C285,'[1]뷰프레임 전체_상세'!$B:$E,4,0)</f>
        <v>F-270IS-444GGGS1R5</v>
      </c>
      <c r="L285" s="52" t="str">
        <f>IF(M285&lt;=0.9,HYPERLINK("http://www.lxhausys.co.kr/popup/rn/download/downloadPopup.jsp?from=plwindow&amp;uu=/upload/window/REPORT/LXH-EA25-059 F-270IS-444GGGS1R5.pdf","1등급"),IF(M285&lt;=1.2,HYPERLINK("http://www.lxhausys.co.kr/popup/rn/download/downloadPopup.jsp?from=plwindow&amp;uu=/upload/window/REPORT/LXH-EA25-059 F-270IS-444GGGS1R5.pdf","2등급"),IF(M285&lt;=1.8,HYPERLINK("http://www.lxhausys.co.kr/popup/rn/download/downloadPopup.jsp?from=plwindow&amp;uu=/upload/window/REPORT/LXH-EA25-059 F-270IS-444GGGS1R5.pdf","3등급"),IF(M285&lt;=2.3,HYPERLINK("http://www.lxhausys.co.kr/popup/rn/download/downloadPopup.jsp?from=plwindow&amp;uu=/upload/window/REPORT/LXH-EA25-059 F-270IS-444GGGS1R5.pdf","4등급"),IF(M285&lt;=2.8,HYPERLINK("http://www.lxhausys.co.kr/popup/rn/download/downloadPopup.jsp?from=plwindow&amp;uu=/upload/window/REPORT/LXH-EA25-059 F-270IS-444GGGS1R5.pdf","5등급"),HYPERLINK("http://www.lxhausys.co.kr/popup/rn/download/downloadPopup.jsp?from=plwindow&amp;uu=/upload/window/REPORT/LXH-TW22-015 S-124-222FFGL1R288.pdf","등급외"))))))</f>
        <v>1등급</v>
      </c>
      <c r="M285" s="45">
        <v>0.81299999999999994</v>
      </c>
      <c r="N285" s="45">
        <v>0.79</v>
      </c>
      <c r="O285" s="42"/>
      <c r="P285" s="42" t="s">
        <v>22</v>
      </c>
      <c r="Q285" s="42" t="s">
        <v>19</v>
      </c>
      <c r="R285" s="42" t="s">
        <v>19</v>
      </c>
      <c r="S285" s="42" t="s">
        <v>19</v>
      </c>
      <c r="T285" s="42" t="s">
        <v>19</v>
      </c>
      <c r="U285" s="42" t="s">
        <v>19</v>
      </c>
      <c r="V285" s="42" t="s">
        <v>19</v>
      </c>
      <c r="W285" s="42" t="s">
        <v>19</v>
      </c>
      <c r="X285" s="42" t="s">
        <v>75</v>
      </c>
    </row>
    <row r="286" spans="1:24">
      <c r="A286" s="42" t="s">
        <v>710</v>
      </c>
      <c r="B286" s="43" t="s">
        <v>1064</v>
      </c>
      <c r="C286" s="42" t="s">
        <v>1360</v>
      </c>
      <c r="D286" s="42" t="s">
        <v>20</v>
      </c>
      <c r="E286" s="43" t="s">
        <v>731</v>
      </c>
      <c r="F286" s="44" t="s">
        <v>755</v>
      </c>
      <c r="G286" s="43"/>
      <c r="H286" s="43"/>
      <c r="I286" s="43"/>
      <c r="J286" s="42" t="s">
        <v>1410</v>
      </c>
      <c r="K286" s="43" t="str">
        <f>VLOOKUP(C286,'[1]뷰프레임 전체_상세'!$B:$E,4,0)</f>
        <v>F-250IS-466GGGS2A5</v>
      </c>
      <c r="L286" s="52" t="str">
        <f>IF(M286&lt;=0.9,HYPERLINK("http://www.lxhausys.co.kr/popup/rn/download/downloadPopup.jsp?from=plwindow&amp;uu=/upload/window/REPORT/LXH-EA25-060 F-250IS-466GGGS2A5.pdf","1등급"),IF(M286&lt;=1.2,HYPERLINK("http://www.lxhausys.co.kr/popup/rn/download/downloadPopup.jsp?from=plwindow&amp;uu=/upload/window/REPORT/LXH-EA25-060 F-250IS-466GGGS2A5.pdf","2등급"),IF(M286&lt;=1.8,HYPERLINK("http://www.lxhausys.co.kr/popup/rn/download/downloadPopup.jsp?from=plwindow&amp;uu=/upload/window/REPORT/LXH-EA25-060 F-250IS-466GGGS2A5.pdf","3등급"),IF(M286&lt;=2.3,HYPERLINK("http://www.lxhausys.co.kr/popup/rn/download/downloadPopup.jsp?from=plwindow&amp;uu=/upload/window/REPORT/LXH-EA25-060 F-250IS-466GGGS2A5.pdf","4등급"),IF(M286&lt;=2.8,HYPERLINK("http://www.lxhausys.co.kr/popup/rn/download/downloadPopup.jsp?from=plwindow&amp;uu=/upload/window/REPORT/LXH-EA25-060 F-250IS-466GGGS2A5.pdf","5등급"),HYPERLINK("http://www.lxhausys.co.kr/popup/rn/download/downloadPopup.jsp?from=plwindow&amp;uu=/upload/window/REPORT/LXH-TW22-015 S-124-222FFGL1R289.pdf","등급외"))))))</f>
        <v>1등급</v>
      </c>
      <c r="M286" s="45">
        <v>0.88</v>
      </c>
      <c r="N286" s="45">
        <v>0.77</v>
      </c>
      <c r="O286" s="42"/>
      <c r="P286" s="42" t="s">
        <v>22</v>
      </c>
      <c r="Q286" s="42" t="s">
        <v>19</v>
      </c>
      <c r="R286" s="42" t="s">
        <v>19</v>
      </c>
      <c r="S286" s="42" t="s">
        <v>19</v>
      </c>
      <c r="T286" s="42" t="s">
        <v>19</v>
      </c>
      <c r="U286" s="42" t="s">
        <v>19</v>
      </c>
      <c r="V286" s="42" t="s">
        <v>19</v>
      </c>
      <c r="W286" s="42" t="s">
        <v>19</v>
      </c>
      <c r="X286" s="42" t="s">
        <v>75</v>
      </c>
    </row>
    <row r="287" spans="1:24">
      <c r="A287" s="42" t="s">
        <v>710</v>
      </c>
      <c r="B287" s="43" t="s">
        <v>1065</v>
      </c>
      <c r="C287" s="42" t="s">
        <v>1361</v>
      </c>
      <c r="D287" s="42" t="s">
        <v>20</v>
      </c>
      <c r="E287" s="43" t="s">
        <v>739</v>
      </c>
      <c r="F287" s="44" t="s">
        <v>760</v>
      </c>
      <c r="G287" s="43"/>
      <c r="H287" s="43"/>
      <c r="I287" s="43"/>
      <c r="J287" s="42" t="s">
        <v>1410</v>
      </c>
      <c r="K287" s="43" t="str">
        <f>VLOOKUP(C287,'[1]뷰프레임 전체_상세'!$B:$E,4,0)</f>
        <v>F-250IS-444GGGS1R5</v>
      </c>
      <c r="L287" s="52" t="str">
        <f>IF(M287&lt;=0.9,HYPERLINK("http://www.lxhausys.co.kr/popup/rn/download/downloadPopup.jsp?from=plwindow&amp;uu=/upload/window/REPORT/LXH-EA25-061 F-250IS-444GGGS1R5.pdf","1등급"),IF(M287&lt;=1.2,HYPERLINK("http://www.lxhausys.co.kr/popup/rn/download/downloadPopup.jsp?from=plwindow&amp;uu=/upload/window/REPORT/LXH-EA25-061 F-250IS-444GGGS1R5.pdf","2등급"),IF(M287&lt;=1.8,HYPERLINK("http://www.lxhausys.co.kr/popup/rn/download/downloadPopup.jsp?from=plwindow&amp;uu=/upload/window/REPORT/LXH-EA25-061 F-250IS-444GGGS1R5.pdf","3등급"),IF(M287&lt;=2.3,HYPERLINK("http://www.lxhausys.co.kr/popup/rn/download/downloadPopup.jsp?from=plwindow&amp;uu=/upload/window/REPORT/LXH-EA25-061 F-250IS-444GGGS1R5.pdf","4등급"),IF(M287&lt;=2.8,HYPERLINK("http://www.lxhausys.co.kr/popup/rn/download/downloadPopup.jsp?from=plwindow&amp;uu=/upload/window/REPORT/LXH-EA25-061 F-250IS-444GGGS1R5.pdf","5등급"),HYPERLINK("http://www.lxhausys.co.kr/popup/rn/download/downloadPopup.jsp?from=plwindow&amp;uu=/upload/window/REPORT/LXH-TW22-015 S-124-222FFGL1R290.pdf","등급외"))))))</f>
        <v>1등급</v>
      </c>
      <c r="M287" s="45">
        <v>0.80900000000000005</v>
      </c>
      <c r="N287" s="45">
        <v>0.75</v>
      </c>
      <c r="O287" s="42"/>
      <c r="P287" s="42" t="s">
        <v>22</v>
      </c>
      <c r="Q287" s="42" t="s">
        <v>19</v>
      </c>
      <c r="R287" s="42" t="s">
        <v>19</v>
      </c>
      <c r="S287" s="42" t="s">
        <v>19</v>
      </c>
      <c r="T287" s="42" t="s">
        <v>19</v>
      </c>
      <c r="U287" s="42" t="s">
        <v>19</v>
      </c>
      <c r="V287" s="42" t="s">
        <v>19</v>
      </c>
      <c r="W287" s="42" t="s">
        <v>19</v>
      </c>
      <c r="X287" s="42" t="s">
        <v>75</v>
      </c>
    </row>
    <row r="288" spans="1:24">
      <c r="A288" s="42" t="s">
        <v>709</v>
      </c>
      <c r="B288" s="43" t="s">
        <v>1066</v>
      </c>
      <c r="C288" s="42" t="s">
        <v>1362</v>
      </c>
      <c r="D288" s="42" t="s">
        <v>20</v>
      </c>
      <c r="E288" s="43" t="s">
        <v>724</v>
      </c>
      <c r="F288" s="44"/>
      <c r="G288" s="43"/>
      <c r="H288" s="43"/>
      <c r="I288" s="43"/>
      <c r="J288" s="42" t="s">
        <v>1410</v>
      </c>
      <c r="K288" s="43" t="str">
        <f>VLOOKUP(C288,'[1]뷰프레임 전체_상세'!$B:$E,4,0)</f>
        <v>F-130IS-228FFGS1A5</v>
      </c>
      <c r="L288" s="52" t="str">
        <f>IF(M288&lt;=0.9,HYPERLINK("http://www.lxhausys.co.kr/popup/rn/download/downloadPopup.jsp?from=plwindow&amp;uu=/upload/window/REPORT/LXH-EA25-062 F-130IS-228FFGS1A5.pdf","1등급"),IF(M288&lt;=1.2,HYPERLINK("http://www.lxhausys.co.kr/popup/rn/download/downloadPopup.jsp?from=plwindow&amp;uu=/upload/window/REPORT/LXH-EA25-062 F-130IS-228FFGS1A5.pdf","2등급"),IF(M288&lt;=1.8,HYPERLINK("http://www.lxhausys.co.kr/popup/rn/download/downloadPopup.jsp?from=plwindow&amp;uu=/upload/window/REPORT/LXH-EA25-062 F-130IS-228FFGS1A5.pdf","3등급"),IF(M288&lt;=2.3,HYPERLINK("http://www.lxhausys.co.kr/popup/rn/download/downloadPopup.jsp?from=plwindow&amp;uu=/upload/window/REPORT/LXH-EA25-062 F-130IS-228FFGS1A5.pdf","4등급"),IF(M288&lt;=2.8,HYPERLINK("http://www.lxhausys.co.kr/popup/rn/download/downloadPopup.jsp?from=plwindow&amp;uu=/upload/window/REPORT/LXH-EA25-062 F-130IS-228FFGS1A5.pdf","5등급"),HYPERLINK("http://www.lxhausys.co.kr/popup/rn/download/downloadPopup.jsp?from=plwindow&amp;uu=/upload/window/REPORT/LXH-TW22-015 S-124-222FFGL1R291.pdf","등급외"))))))</f>
        <v>4등급</v>
      </c>
      <c r="M288" s="45">
        <v>1.8380000000000001</v>
      </c>
      <c r="N288" s="45">
        <v>1.39</v>
      </c>
      <c r="O288" s="42"/>
      <c r="P288" s="42" t="s">
        <v>103</v>
      </c>
      <c r="Q288" s="42" t="s">
        <v>19</v>
      </c>
      <c r="R288" s="42" t="s">
        <v>19</v>
      </c>
      <c r="S288" s="42" t="s">
        <v>19</v>
      </c>
      <c r="T288" s="42" t="s">
        <v>19</v>
      </c>
      <c r="U288" s="42" t="s">
        <v>19</v>
      </c>
      <c r="V288" s="42" t="s">
        <v>19</v>
      </c>
      <c r="W288" s="42" t="s">
        <v>19</v>
      </c>
      <c r="X288" s="42" t="s">
        <v>75</v>
      </c>
    </row>
    <row r="289" spans="1:24">
      <c r="A289" s="42" t="s">
        <v>709</v>
      </c>
      <c r="B289" s="43" t="s">
        <v>1067</v>
      </c>
      <c r="C289" s="42" t="s">
        <v>1363</v>
      </c>
      <c r="D289" s="42" t="s">
        <v>20</v>
      </c>
      <c r="E289" s="43" t="s">
        <v>718</v>
      </c>
      <c r="F289" s="44"/>
      <c r="G289" s="43"/>
      <c r="H289" s="43"/>
      <c r="I289" s="43"/>
      <c r="J289" s="42" t="s">
        <v>1410</v>
      </c>
      <c r="K289" s="43" t="str">
        <f>VLOOKUP(C289,'[1]뷰프레임 전체_상세'!$B:$E,4,0)</f>
        <v>F-130IS-226FFGS1R5</v>
      </c>
      <c r="L289" s="52" t="str">
        <f>IF(M289&lt;=0.9,HYPERLINK("http://www.lxhausys.co.kr/popup/rn/download/downloadPopup.jsp?from=plwindow&amp;uu=/upload/window/REPORT/LXH-EA25-063 F-130IS-226FFGS1R5.pdf","1등급"),IF(M289&lt;=1.2,HYPERLINK("http://www.lxhausys.co.kr/popup/rn/download/downloadPopup.jsp?from=plwindow&amp;uu=/upload/window/REPORT/LXH-EA25-063 F-130IS-226FFGS1R5.pdf","2등급"),IF(M289&lt;=1.8,HYPERLINK("http://www.lxhausys.co.kr/popup/rn/download/downloadPopup.jsp?from=plwindow&amp;uu=/upload/window/REPORT/LXH-EA25-063 F-130IS-226FFGS1R5.pdf","3등급"),IF(M289&lt;=2.3,HYPERLINK("http://www.lxhausys.co.kr/popup/rn/download/downloadPopup.jsp?from=plwindow&amp;uu=/upload/window/REPORT/LXH-EA25-063 F-130IS-226FFGS1R5.pdf","4등급"),IF(M289&lt;=2.8,HYPERLINK("http://www.lxhausys.co.kr/popup/rn/download/downloadPopup.jsp?from=plwindow&amp;uu=/upload/window/REPORT/LXH-EA25-063 F-130IS-226FFGS1R5.pdf","5등급"),HYPERLINK("http://www.lxhausys.co.kr/popup/rn/download/downloadPopup.jsp?from=plwindow&amp;uu=/upload/window/REPORT/LXH-TW22-015 S-124-222FFGL1R292.pdf","등급외"))))))</f>
        <v>3등급</v>
      </c>
      <c r="M289" s="45">
        <v>1.649</v>
      </c>
      <c r="N289" s="45">
        <v>1.36</v>
      </c>
      <c r="O289" s="42"/>
      <c r="P289" s="42" t="s">
        <v>103</v>
      </c>
      <c r="Q289" s="42" t="s">
        <v>19</v>
      </c>
      <c r="R289" s="42" t="s">
        <v>19</v>
      </c>
      <c r="S289" s="42" t="s">
        <v>19</v>
      </c>
      <c r="T289" s="42" t="s">
        <v>19</v>
      </c>
      <c r="U289" s="42" t="s">
        <v>19</v>
      </c>
      <c r="V289" s="42" t="s">
        <v>19</v>
      </c>
      <c r="W289" s="42" t="s">
        <v>19</v>
      </c>
      <c r="X289" s="42" t="s">
        <v>75</v>
      </c>
    </row>
    <row r="290" spans="1:24">
      <c r="A290" s="42" t="s">
        <v>711</v>
      </c>
      <c r="B290" s="43" t="s">
        <v>1068</v>
      </c>
      <c r="C290" s="42" t="s">
        <v>1364</v>
      </c>
      <c r="D290" s="42" t="s">
        <v>20</v>
      </c>
      <c r="E290" s="43" t="s">
        <v>731</v>
      </c>
      <c r="F290" s="44" t="s">
        <v>755</v>
      </c>
      <c r="G290" s="43"/>
      <c r="H290" s="43"/>
      <c r="I290" s="43"/>
      <c r="J290" s="42" t="s">
        <v>1410</v>
      </c>
      <c r="K290" s="43" t="str">
        <f>VLOOKUP(C290,'[1]뷰프레임 전체_상세'!$B:$E,4,0)</f>
        <v>F-270IS-466GGGS2A5</v>
      </c>
      <c r="L290" s="52" t="str">
        <f>IF(M290&lt;=0.9,HYPERLINK("http://www.lxhausys.co.kr/popup/rn/download/downloadPopup.jsp?from=plwindow&amp;uu=/upload/window/REPORT/LXH-EA25-064 F-270IS-466GGGS2A5.pdf","1등급"),IF(M290&lt;=1.2,HYPERLINK("http://www.lxhausys.co.kr/popup/rn/download/downloadPopup.jsp?from=plwindow&amp;uu=/upload/window/REPORT/LXH-EA25-064 F-270IS-466GGGS2A5.pdf","2등급"),IF(M290&lt;=1.8,HYPERLINK("http://www.lxhausys.co.kr/popup/rn/download/downloadPopup.jsp?from=plwindow&amp;uu=/upload/window/REPORT/LXH-EA25-064 F-270IS-466GGGS2A5.pdf","3등급"),IF(M290&lt;=2.3,HYPERLINK("http://www.lxhausys.co.kr/popup/rn/download/downloadPopup.jsp?from=plwindow&amp;uu=/upload/window/REPORT/LXH-EA25-064 F-270IS-466GGGS2A5.pdf","4등급"),IF(M290&lt;=2.8,HYPERLINK("http://www.lxhausys.co.kr/popup/rn/download/downloadPopup.jsp?from=plwindow&amp;uu=/upload/window/REPORT/LXH-EA25-064 F-270IS-466GGGS2A5.pdf","5등급"),HYPERLINK("http://www.lxhausys.co.kr/popup/rn/download/downloadPopup.jsp?from=plwindow&amp;uu=/upload/window/REPORT/LXH-TW22-015 S-124-222FFGL1R293.pdf","등급외"))))))</f>
        <v>1등급</v>
      </c>
      <c r="M290" s="45">
        <v>0.88600000000000001</v>
      </c>
      <c r="N290" s="45">
        <v>0.75</v>
      </c>
      <c r="O290" s="42"/>
      <c r="P290" s="42" t="s">
        <v>22</v>
      </c>
      <c r="Q290" s="42" t="s">
        <v>19</v>
      </c>
      <c r="R290" s="42" t="s">
        <v>19</v>
      </c>
      <c r="S290" s="42" t="s">
        <v>19</v>
      </c>
      <c r="T290" s="42" t="s">
        <v>19</v>
      </c>
      <c r="U290" s="42" t="s">
        <v>19</v>
      </c>
      <c r="V290" s="42" t="s">
        <v>19</v>
      </c>
      <c r="W290" s="42" t="s">
        <v>19</v>
      </c>
      <c r="X290" s="42" t="s">
        <v>75</v>
      </c>
    </row>
    <row r="291" spans="1:24">
      <c r="A291" s="42" t="s">
        <v>709</v>
      </c>
      <c r="B291" s="43" t="s">
        <v>1069</v>
      </c>
      <c r="C291" s="42" t="s">
        <v>1365</v>
      </c>
      <c r="D291" s="42" t="s">
        <v>20</v>
      </c>
      <c r="E291" s="43" t="s">
        <v>715</v>
      </c>
      <c r="F291" s="44"/>
      <c r="G291" s="43"/>
      <c r="H291" s="43"/>
      <c r="I291" s="43"/>
      <c r="J291" s="42" t="s">
        <v>1410</v>
      </c>
      <c r="K291" s="43" t="str">
        <f>VLOOKUP(C291,'[1]뷰프레임 전체_상세'!$B:$E,4,0)</f>
        <v>F-130IS-224FFGS1R5</v>
      </c>
      <c r="L291" s="52" t="str">
        <f>IF(M291&lt;=0.9,HYPERLINK("http://www.lxhausys.co.kr/popup/rn/download/downloadPopup.jsp?from=plwindow&amp;uu=/upload/window/REPORT/LXH-EA25-065 F-130IS-224FFGS1R5.pdf","1등급"),IF(M291&lt;=1.2,HYPERLINK("http://www.lxhausys.co.kr/popup/rn/download/downloadPopup.jsp?from=plwindow&amp;uu=/upload/window/REPORT/LXH-EA25-065 F-130IS-224FFGS1R5.pdf","2등급"),IF(M291&lt;=1.8,HYPERLINK("http://www.lxhausys.co.kr/popup/rn/download/downloadPopup.jsp?from=plwindow&amp;uu=/upload/window/REPORT/LXH-EA25-065 F-130IS-224FFGS1R5.pdf","3등급"),IF(M291&lt;=2.3,HYPERLINK("http://www.lxhausys.co.kr/popup/rn/download/downloadPopup.jsp?from=plwindow&amp;uu=/upload/window/REPORT/LXH-EA25-065 F-130IS-224FFGS1R5.pdf","4등급"),IF(M291&lt;=2.8,HYPERLINK("http://www.lxhausys.co.kr/popup/rn/download/downloadPopup.jsp?from=plwindow&amp;uu=/upload/window/REPORT/LXH-EA25-065 F-130IS-224FFGS1R5.pdf","5등급"),HYPERLINK("http://www.lxhausys.co.kr/popup/rn/download/downloadPopup.jsp?from=plwindow&amp;uu=/upload/window/REPORT/LXH-TW22-015 S-124-222FFGL1R294.pdf","등급외"))))))</f>
        <v>3등급</v>
      </c>
      <c r="M291" s="45">
        <v>1.6890000000000001</v>
      </c>
      <c r="N291" s="45">
        <v>1.34</v>
      </c>
      <c r="O291" s="42"/>
      <c r="P291" s="42" t="s">
        <v>103</v>
      </c>
      <c r="Q291" s="42" t="s">
        <v>19</v>
      </c>
      <c r="R291" s="42" t="s">
        <v>19</v>
      </c>
      <c r="S291" s="42" t="s">
        <v>19</v>
      </c>
      <c r="T291" s="42" t="s">
        <v>19</v>
      </c>
      <c r="U291" s="42" t="s">
        <v>19</v>
      </c>
      <c r="V291" s="42" t="s">
        <v>19</v>
      </c>
      <c r="W291" s="42" t="s">
        <v>19</v>
      </c>
      <c r="X291" s="42" t="s">
        <v>75</v>
      </c>
    </row>
    <row r="292" spans="1:24">
      <c r="A292" s="46" t="s">
        <v>710</v>
      </c>
      <c r="B292" s="47" t="s">
        <v>1425</v>
      </c>
      <c r="C292" s="46" t="s">
        <v>1433</v>
      </c>
      <c r="D292" s="46" t="s">
        <v>20</v>
      </c>
      <c r="E292" s="47" t="s">
        <v>1447</v>
      </c>
      <c r="F292" s="48" t="s">
        <v>1448</v>
      </c>
      <c r="G292" s="46"/>
      <c r="H292" s="47"/>
      <c r="I292" s="46"/>
      <c r="J292" s="46" t="s">
        <v>1410</v>
      </c>
      <c r="K292" s="47" t="s">
        <v>1425</v>
      </c>
      <c r="L292" s="52" t="str">
        <f>IF(M292&lt;=0.9,HYPERLINK("http://www.lxhausys.co.kr/popup/rn/download/downloadPopup.jsp?from=plwindow&amp;uu=/upload/window/REPORT/LXH-EA25-071 F-250IS-466GGGG2A5.pdf","1등급"),IF(M292&lt;=1.2,HYPERLINK("http://www.lxhausys.co.kr/popup/rn/download/downloadPopup.jsp?from=plwindow&amp;uu=/upload/window/REPORT/LXH-EA25-071 F-250IS-466GGGG2A5.pdf","2등급"),IF(M292&lt;=1.8,HYPERLINK("http://www.lxhausys.co.kr/popup/rn/download/downloadPopup.jsp?from=plwindow&amp;uu=/upload/window/REPORT/LXH-EA25-071 F-250IS-466GGGG2A5.pdf","3등급"),IF(M292&lt;=2.3,HYPERLINK("http://www.lxhausys.co.kr/popup/rn/download/downloadPopup.jsp?from=plwindow&amp;uu=/upload/window/REPORT/LXH-EA25-071 F-250IS-466GGGG2A5.pdf","4등급"),IF(M292&lt;=2.8,HYPERLINK("http://www.lxhausys.co.kr/popup/rn/download/downloadPopup.jsp?from=plwindow&amp;uu=/upload/window/REPORT/LXH-EA25-071 F-250IS-466GGGG2A5.pdf","5등급"),HYPERLINK("http://www.lxhausys.co.kr/popup/rn/download/downloadPopup.jsp?from=plwindow&amp;uu=/upload/window/REPORT/LXH-EA25-071 F-250IS-466GGGG2A5.pdf","등급외"))))))</f>
        <v>3등급</v>
      </c>
      <c r="M292" s="49">
        <v>1.234</v>
      </c>
      <c r="N292" s="49">
        <v>0.79</v>
      </c>
      <c r="O292" s="46"/>
      <c r="P292" s="46" t="s">
        <v>1453</v>
      </c>
      <c r="Q292" s="46" t="s">
        <v>19</v>
      </c>
      <c r="R292" s="46" t="s">
        <v>19</v>
      </c>
      <c r="S292" s="46" t="s">
        <v>19</v>
      </c>
      <c r="T292" s="46" t="s">
        <v>19</v>
      </c>
      <c r="U292" s="46" t="s">
        <v>19</v>
      </c>
      <c r="V292" s="46" t="s">
        <v>19</v>
      </c>
      <c r="W292" s="46" t="s">
        <v>19</v>
      </c>
      <c r="X292" s="46" t="s">
        <v>75</v>
      </c>
    </row>
    <row r="293" spans="1:24">
      <c r="A293" s="46" t="s">
        <v>711</v>
      </c>
      <c r="B293" s="47" t="s">
        <v>1426</v>
      </c>
      <c r="C293" s="46" t="s">
        <v>1434</v>
      </c>
      <c r="D293" s="46" t="s">
        <v>20</v>
      </c>
      <c r="E293" s="47" t="s">
        <v>1447</v>
      </c>
      <c r="F293" s="48" t="s">
        <v>1448</v>
      </c>
      <c r="G293" s="46"/>
      <c r="H293" s="47"/>
      <c r="I293" s="46"/>
      <c r="J293" s="46" t="s">
        <v>1410</v>
      </c>
      <c r="K293" s="47" t="s">
        <v>1426</v>
      </c>
      <c r="L293" s="52" t="str">
        <f>IF(M293&lt;=0.9,HYPERLINK("http://www.lxhausys.co.kr/popup/rn/download/downloadPopup.jsp?from=plwindow&amp;uu=/upload/window/REPORT/LXH-EA25-076 F-270IS-466GGGG2A5.pdf","1등급"),IF(M293&lt;=1.2,HYPERLINK("http://www.lxhausys.co.kr/popup/rn/download/downloadPopup.jsp?from=plwindow&amp;uu=/upload/window/REPORT/LXH-EA25-076 F-270IS-466GGGG2A5.pdf","2등급"),IF(M293&lt;=1.8,HYPERLINK("http://www.lxhausys.co.kr/popup/rn/download/downloadPopup.jsp?from=plwindow&amp;uu=/upload/window/REPORT/LXH-EA25-076 F-270IS-466GGGG2A5.pdf","3등급"),IF(M293&lt;=2.3,HYPERLINK("http://www.lxhausys.co.kr/popup/rn/download/downloadPopup.jsp?from=plwindow&amp;uu=/upload/window/REPORT/LXH-EA25-076 F-270IS-466GGGG2A5.pdf","4등급"),IF(M293&lt;=2.8,HYPERLINK("http://www.lxhausys.co.kr/popup/rn/download/downloadPopup.jsp?from=plwindow&amp;uu=/upload/window/REPORT/LXH-EA25-076 F-270IS-466GGGG2A5.pdf","5등급"),HYPERLINK("http://www.lxhausys.co.kr/popup/rn/download/downloadPopup.jsp?from=plwindow&amp;uu=/upload/window/REPORT/LXH-EA25-076 F-270IS-466GGGG2A5.pdf","등급외"))))))</f>
        <v>3등급</v>
      </c>
      <c r="M293" s="49">
        <v>1.2150000000000001</v>
      </c>
      <c r="N293" s="49">
        <v>0.75</v>
      </c>
      <c r="O293" s="46"/>
      <c r="P293" s="46" t="s">
        <v>1453</v>
      </c>
      <c r="Q293" s="46" t="s">
        <v>19</v>
      </c>
      <c r="R293" s="46" t="s">
        <v>19</v>
      </c>
      <c r="S293" s="46" t="s">
        <v>19</v>
      </c>
      <c r="T293" s="46" t="s">
        <v>19</v>
      </c>
      <c r="U293" s="46" t="s">
        <v>19</v>
      </c>
      <c r="V293" s="46" t="s">
        <v>19</v>
      </c>
      <c r="W293" s="46" t="s">
        <v>19</v>
      </c>
      <c r="X293" s="46" t="s">
        <v>75</v>
      </c>
    </row>
    <row r="294" spans="1:24">
      <c r="A294" s="46" t="s">
        <v>1398</v>
      </c>
      <c r="B294" s="47" t="s">
        <v>1427</v>
      </c>
      <c r="C294" s="46" t="s">
        <v>1435</v>
      </c>
      <c r="D294" s="46" t="s">
        <v>20</v>
      </c>
      <c r="E294" s="47" t="s">
        <v>716</v>
      </c>
      <c r="F294" s="48"/>
      <c r="G294" s="46"/>
      <c r="H294" s="47"/>
      <c r="I294" s="46"/>
      <c r="J294" s="46" t="s">
        <v>1410</v>
      </c>
      <c r="K294" s="47" t="s">
        <v>1427</v>
      </c>
      <c r="L294" s="52" t="str">
        <f>IF(M294&lt;=0.9,HYPERLINK("http://www.lxhausys.co.kr/popup/rn/download/downloadPopup.jsp?from=plwindow&amp;uu=/upload/window/REPORT/LXH-EA25-075 F-TH60-224FFKG1R5.pdf","1등급"),IF(M294&lt;=1.2,HYPERLINK("http://www.lxhausys.co.kr/popup/rn/download/downloadPopup.jsp?from=plwindow&amp;uu=/upload/window/REPORT/LXH-EA25-075 F-TH60-224FFKG1R5.pdf","2등급"),IF(M294&lt;=1.8,HYPERLINK("http://www.lxhausys.co.kr/popup/rn/download/downloadPopup.jsp?from=plwindow&amp;uu=/upload/window/REPORT/LXH-EA25-075 F-TH60-224FFKG1R5.pdf","3등급"),IF(M294&lt;=2.3,HYPERLINK("http://www.lxhausys.co.kr/popup/rn/download/downloadPopup.jsp?from=plwindow&amp;uu=/upload/window/REPORT/LXH-EA25-075 F-TH60-224FFKG1R5.pdf","4등급"),IF(M294&lt;=2.8,HYPERLINK("http://www.lxhausys.co.kr/popup/rn/download/downloadPopup.jsp?from=plwindow&amp;uu=/upload/window/REPORT/LXH-EA25-075 F-TH60-224FFKG1R5.pdf","5등급"),HYPERLINK("http://www.lxhausys.co.kr/popup/rn/download/downloadPopup.jsp?from=plwindow&amp;uu=/upload/window/REPORT/LXH-EA25-075 F-TH60-224FFKG1R5.pdf","등급외"))))))</f>
        <v>3등급</v>
      </c>
      <c r="M294" s="49">
        <v>1.4990000000000001</v>
      </c>
      <c r="N294" s="49">
        <v>0.15</v>
      </c>
      <c r="O294" s="46"/>
      <c r="P294" s="46" t="s">
        <v>1453</v>
      </c>
      <c r="Q294" s="46" t="s">
        <v>19</v>
      </c>
      <c r="R294" s="46" t="s">
        <v>19</v>
      </c>
      <c r="S294" s="46" t="s">
        <v>19</v>
      </c>
      <c r="T294" s="46" t="s">
        <v>19</v>
      </c>
      <c r="U294" s="46" t="s">
        <v>19</v>
      </c>
      <c r="V294" s="46" t="s">
        <v>19</v>
      </c>
      <c r="W294" s="46" t="s">
        <v>19</v>
      </c>
      <c r="X294" s="46" t="s">
        <v>75</v>
      </c>
    </row>
    <row r="295" spans="1:24">
      <c r="A295" s="46" t="s">
        <v>1428</v>
      </c>
      <c r="B295" s="47" t="s">
        <v>1429</v>
      </c>
      <c r="C295" s="46" t="s">
        <v>1436</v>
      </c>
      <c r="D295" s="46" t="s">
        <v>20</v>
      </c>
      <c r="E295" s="47" t="s">
        <v>716</v>
      </c>
      <c r="F295" s="48"/>
      <c r="G295" s="46"/>
      <c r="H295" s="47"/>
      <c r="I295" s="46"/>
      <c r="J295" s="46" t="s">
        <v>1410</v>
      </c>
      <c r="K295" s="47" t="s">
        <v>1429</v>
      </c>
      <c r="L295" s="52" t="str">
        <f>IF(M295&lt;=0.9,HYPERLINK("http://www.lxhausys.co.kr/popup/rn/download/downloadPopup.jsp?from=plwindow&amp;uu=/upload/window/REPORT/LXH-EA25-072 F-TH60S-224FFKG1R5.pdf","1등급"),IF(M295&lt;=1.2,HYPERLINK("http://www.lxhausys.co.kr/popup/rn/download/downloadPopup.jsp?from=plwindow&amp;uu=/upload/window/REPORT/LXH-EA25-072 F-TH60S-224FFKG1R5.pdf","2등급"),IF(M295&lt;=1.8,HYPERLINK("http://www.lxhausys.co.kr/popup/rn/download/downloadPopup.jsp?from=plwindow&amp;uu=/upload/window/REPORT/LXH-EA25-072 F-TH60S-224FFKG1R5.pdf","3등급"),IF(M295&lt;=2.3,HYPERLINK("http://www.lxhausys.co.kr/popup/rn/download/downloadPopup.jsp?from=plwindow&amp;uu=/upload/window/REPORT/LXH-EA25-072 F-TH60S-224FFKG1R5.pdf","4등급"),IF(M295&lt;=2.8,HYPERLINK("http://www.lxhausys.co.kr/popup/rn/download/downloadPopup.jsp?from=plwindow&amp;uu=/upload/window/REPORT/LXH-EA25-072 F-TH60S-224FFKG1R5.pdf","5등급"),HYPERLINK("http://www.lxhausys.co.kr/popup/rn/download/downloadPopup.jsp?from=plwindow&amp;uu=/upload/window/REPORT/LXH-EA25-072 F-TH60S-224FFKG1R5.pdf","등급외"))))))</f>
        <v>3등급</v>
      </c>
      <c r="M295" s="49">
        <v>1.5</v>
      </c>
      <c r="N295" s="49">
        <v>0.21</v>
      </c>
      <c r="O295" s="46"/>
      <c r="P295" s="46" t="s">
        <v>1453</v>
      </c>
      <c r="Q295" s="46" t="s">
        <v>19</v>
      </c>
      <c r="R295" s="46" t="s">
        <v>19</v>
      </c>
      <c r="S295" s="46" t="s">
        <v>19</v>
      </c>
      <c r="T295" s="46" t="s">
        <v>19</v>
      </c>
      <c r="U295" s="46" t="s">
        <v>19</v>
      </c>
      <c r="V295" s="46" t="s">
        <v>19</v>
      </c>
      <c r="W295" s="46" t="s">
        <v>19</v>
      </c>
      <c r="X295" s="46" t="s">
        <v>75</v>
      </c>
    </row>
    <row r="296" spans="1:24">
      <c r="A296" s="46" t="s">
        <v>699</v>
      </c>
      <c r="B296" s="47" t="s">
        <v>1430</v>
      </c>
      <c r="C296" s="46" t="s">
        <v>1437</v>
      </c>
      <c r="D296" s="46" t="s">
        <v>20</v>
      </c>
      <c r="E296" s="47" t="s">
        <v>715</v>
      </c>
      <c r="F296" s="48"/>
      <c r="G296" s="46"/>
      <c r="H296" s="47"/>
      <c r="I296" s="46"/>
      <c r="J296" s="46" t="s">
        <v>1410</v>
      </c>
      <c r="K296" s="47" t="s">
        <v>1430</v>
      </c>
      <c r="L296" s="52" t="str">
        <f>IF(M296&lt;=0.9,HYPERLINK("http://www.lxhausys.co.kr/popup/rn/download/downloadPopup.jsp?from=plwindow&amp;uu=/upload/window/REPORT/LXH-EA25-073 F-TD140-224FFGS1R5-1.pdf","1등급"),IF(M296&lt;=1.2,HYPERLINK("http://www.lxhausys.co.kr/popup/rn/download/downloadPopup.jsp?from=plwindow&amp;uu=/upload/window/REPORT/LXH-EA25-073 F-TD140-224FFGS1R5-1.pdf","2등급"),IF(M296&lt;=1.8,HYPERLINK("http://www.lxhausys.co.kr/popup/rn/download/downloadPopup.jsp?from=plwindow&amp;uu=/upload/window/REPORT/LXH-EA25-073 F-TD140-224FFGS1R5-1.pdf","3등급"),IF(M296&lt;=2.3,HYPERLINK("http://www.lxhausys.co.kr/popup/rn/download/downloadPopup.jsp?from=plwindow&amp;uu=/upload/window/REPORT/LXH-EA25-073 F-TD140-224FFGS1R5-1.pdf","4등급"),IF(M296&lt;=2.8,HYPERLINK("http://www.lxhausys.co.kr/popup/rn/download/downloadPopup.jsp?from=plwindow&amp;uu=/upload/window/REPORT/LXH-EA25-073 F-TD140-224FFGS1R5-1.pdf","5등급"),HYPERLINK("http://www.lxhausys.co.kr/popup/rn/download/downloadPopup.jsp?from=plwindow&amp;uu=/upload/window/REPORT/LXH-EA25-073 F-TD140-224FFGS1R5-1.pdf","등급외"))))))</f>
        <v>3등급</v>
      </c>
      <c r="M296" s="49">
        <v>1.653</v>
      </c>
      <c r="N296" s="49">
        <v>0.28000000000000003</v>
      </c>
      <c r="O296" s="46"/>
      <c r="P296" s="46" t="s">
        <v>1453</v>
      </c>
      <c r="Q296" s="46" t="s">
        <v>19</v>
      </c>
      <c r="R296" s="46" t="s">
        <v>19</v>
      </c>
      <c r="S296" s="46" t="s">
        <v>19</v>
      </c>
      <c r="T296" s="46" t="s">
        <v>19</v>
      </c>
      <c r="U296" s="46" t="s">
        <v>19</v>
      </c>
      <c r="V296" s="46" t="s">
        <v>19</v>
      </c>
      <c r="W296" s="46" t="s">
        <v>19</v>
      </c>
      <c r="X296" s="46" t="s">
        <v>75</v>
      </c>
    </row>
    <row r="297" spans="1:24">
      <c r="A297" s="46" t="s">
        <v>1431</v>
      </c>
      <c r="B297" s="47" t="s">
        <v>1432</v>
      </c>
      <c r="C297" s="46" t="s">
        <v>1438</v>
      </c>
      <c r="D297" s="46" t="s">
        <v>20</v>
      </c>
      <c r="E297" s="47" t="s">
        <v>715</v>
      </c>
      <c r="F297" s="48"/>
      <c r="G297" s="46"/>
      <c r="H297" s="47"/>
      <c r="I297" s="46"/>
      <c r="J297" s="46" t="s">
        <v>1410</v>
      </c>
      <c r="K297" s="47" t="s">
        <v>1432</v>
      </c>
      <c r="L297" s="52" t="str">
        <f>IF(M297&lt;=0.9,HYPERLINK("http://www.lxhausys.co.kr/popup/rn/download/downloadPopup.jsp?from=plwindow&amp;uu=/upload/window/REPORT/LXH-EA25-074 F-TD140S-224FFGS1R5.pdf","1등급"),IF(M297&lt;=1.2,HYPERLINK("http://www.lxhausys.co.kr/popup/rn/download/downloadPopup.jsp?from=plwindow&amp;uu=/upload/window/REPORT/LXH-EA25-074 F-TD140S-224FFGS1R5.pdf","2등급"),IF(M297&lt;=1.8,HYPERLINK("http://www.lxhausys.co.kr/popup/rn/download/downloadPopup.jsp?from=plwindow&amp;uu=/upload/window/REPORT/LXH-EA25-074 F-TD140S-224FFGS1R5.pdf","3등급"),IF(M297&lt;=2.3,HYPERLINK("http://www.lxhausys.co.kr/popup/rn/download/downloadPopup.jsp?from=plwindow&amp;uu=/upload/window/REPORT/LXH-EA25-074 F-TD140S-224FFGS1R5.pdf","4등급"),IF(M297&lt;=2.8,HYPERLINK("http://www.lxhausys.co.kr/popup/rn/download/downloadPopup.jsp?from=plwindow&amp;uu=/upload/window/REPORT/LXH-EA25-074 F-TD140S-224FFGS1R5.pdf","5등급"),HYPERLINK("http://www.lxhausys.co.kr/popup/rn/download/downloadPopup.jsp?from=plwindow&amp;uu=/upload/window/REPORT//LXH-EA25-074 F-TD140S-224FFGS1R5.pdf","등급외"))))))</f>
        <v>3등급</v>
      </c>
      <c r="M297" s="49">
        <v>1.65</v>
      </c>
      <c r="N297" s="49">
        <v>0.27</v>
      </c>
      <c r="O297" s="46"/>
      <c r="P297" s="46" t="s">
        <v>1453</v>
      </c>
      <c r="Q297" s="46" t="s">
        <v>19</v>
      </c>
      <c r="R297" s="46" t="s">
        <v>19</v>
      </c>
      <c r="S297" s="46" t="s">
        <v>19</v>
      </c>
      <c r="T297" s="46" t="s">
        <v>19</v>
      </c>
      <c r="U297" s="46" t="s">
        <v>19</v>
      </c>
      <c r="V297" s="46" t="s">
        <v>19</v>
      </c>
      <c r="W297" s="46" t="s">
        <v>19</v>
      </c>
      <c r="X297" s="46" t="s">
        <v>75</v>
      </c>
    </row>
    <row r="298" spans="1:24">
      <c r="A298" s="46" t="s">
        <v>1439</v>
      </c>
      <c r="B298" s="47" t="s">
        <v>1440</v>
      </c>
      <c r="C298" s="46" t="s">
        <v>1445</v>
      </c>
      <c r="D298" s="46" t="s">
        <v>20</v>
      </c>
      <c r="E298" s="47" t="s">
        <v>1449</v>
      </c>
      <c r="F298" s="48" t="s">
        <v>1450</v>
      </c>
      <c r="G298" s="46"/>
      <c r="H298" s="47"/>
      <c r="I298" s="46"/>
      <c r="J298" s="46" t="s">
        <v>1452</v>
      </c>
      <c r="K298" s="47" t="s">
        <v>1440</v>
      </c>
      <c r="L298" s="52" t="str">
        <f>IF(M298&lt;=0.9,HYPERLINK("http://www.lxhausys.co.kr/popup/rn/download/downloadPopup.jsp?from=plwindow&amp;uu=/upload/window/REPORT/LGH-TW18-088 F-245-422GGGG2A5.pdf","1등급"),IF(M298&lt;=1.2,HYPERLINK("http://www.lxhausys.co.kr/popup/rn/download/downloadPopup.jsp?from=plwindow&amp;uu=/upload/window/REPORT/LGH-TW18-088 F-245-422GGGG2A5.pdf","2등급"),IF(M298&lt;=1.8,HYPERLINK("http://www.lxhausys.co.kr/popup/rn/download/downloadPopup.jsp?from=plwindow&amp;uu=/upload/window/REPORT/LGH-TW18-088 F-245-422GGGG2A5.pdf","3등급"),IF(M298&lt;=2.3,HYPERLINK("http://www.lxhausys.co.kr/popup/rn/download/downloadPopup.jsp?from=plwindow&amp;uu=/upload/window/REPORT/LGH-TW18-088 F-245-422GGGG2A5.pdf","4등급"),IF(M298&lt;=2.8,HYPERLINK("http://www.lxhausys.co.kr/popup/rn/download/downloadPopup.jsp?from=plwindow&amp;uu=/upload/window/REPORT/LGH-TW18-088 F-245-422GGGG2A5.pdf","5등급"),HYPERLINK("http://www.lxhausys.co.kr/popup/rn/download/downloadPopup.jsp?from=plwindow&amp;uu=/upload/window/REPORT/LGH-TW18-088 F-245-422GGGG2A5.pdf","등급외"))))))</f>
        <v>3등급</v>
      </c>
      <c r="M298" s="49">
        <v>1.2669999999999999</v>
      </c>
      <c r="N298" s="49">
        <v>0.83</v>
      </c>
      <c r="O298" s="46"/>
      <c r="P298" s="46" t="s">
        <v>1453</v>
      </c>
      <c r="Q298" s="46" t="s">
        <v>19</v>
      </c>
      <c r="R298" s="46" t="s">
        <v>19</v>
      </c>
      <c r="S298" s="46" t="s">
        <v>19</v>
      </c>
      <c r="T298" s="46" t="s">
        <v>19</v>
      </c>
      <c r="U298" s="46" t="s">
        <v>19</v>
      </c>
      <c r="V298" s="46" t="s">
        <v>19</v>
      </c>
      <c r="W298" s="46" t="s">
        <v>19</v>
      </c>
      <c r="X298" s="46" t="s">
        <v>75</v>
      </c>
    </row>
    <row r="299" spans="1:24">
      <c r="A299" s="46" t="s">
        <v>1439</v>
      </c>
      <c r="B299" s="47" t="s">
        <v>1441</v>
      </c>
      <c r="C299" s="46" t="s">
        <v>1446</v>
      </c>
      <c r="D299" s="46" t="s">
        <v>20</v>
      </c>
      <c r="E299" s="47" t="s">
        <v>1449</v>
      </c>
      <c r="F299" s="48" t="s">
        <v>1451</v>
      </c>
      <c r="G299" s="46"/>
      <c r="H299" s="47"/>
      <c r="I299" s="46"/>
      <c r="J299" s="46" t="s">
        <v>1452</v>
      </c>
      <c r="K299" s="47" t="s">
        <v>1441</v>
      </c>
      <c r="L299" s="52" t="str">
        <f>IF(M299&lt;=0.9,HYPERLINK("http://www.lxhausys.co.kr/popup/rn/download/downloadPopup.jsp?from=plwindow&amp;uu=/upload/window/REPORT/LGH-TW18-089 F-245-422GGGL2A5.pdf","1등급"),IF(M299&lt;=1.2,HYPERLINK("http://www.lxhausys.co.kr/popup/rn/download/downloadPopup.jsp?from=plwindow&amp;uu=/upload/window/REPORT/LGH-TW18-089 F-245-422GGGL2A5.pdf","2등급"),IF(M299&lt;=1.8,HYPERLINK("http://www.lxhausys.co.kr/popup/rn/download/downloadPopup.jsp?from=plwindow&amp;uu=/upload/window/REPORT/LGH-TW18-089 F-245-422GGGL2A5.pdf","3등급"),IF(M299&lt;=2.3,HYPERLINK("http://www.lxhausys.co.kr/popup/rn/download/downloadPopup.jsp?from=plwindow&amp;uu=/upload/window/REPORT/LGH-TW18-089 F-245-422GGGL2A5.pdf","4등급"),IF(M299&lt;=2.8,HYPERLINK("http://www.lxhausys.co.kr/popup/rn/download/downloadPopup.jsp?from=plwindow&amp;uu=/upload/window/REPORT/LGH-TW18-089 F-245-422GGGL2A5.pdf","5등급"),HYPERLINK("http://www.lxhausys.co.kr/popup/rn/download/downloadPopup.jsp?from=plwindow&amp;uu=/upload/window/REPORT/LGH-TW18-089 F-245-422GGGL2A5.pdf","등급외"))))))</f>
        <v>2등급</v>
      </c>
      <c r="M299" s="49">
        <v>0.99099999999999999</v>
      </c>
      <c r="N299" s="49">
        <v>0.76</v>
      </c>
      <c r="O299" s="46"/>
      <c r="P299" s="46" t="s">
        <v>613</v>
      </c>
      <c r="Q299" s="46" t="s">
        <v>19</v>
      </c>
      <c r="R299" s="46" t="s">
        <v>19</v>
      </c>
      <c r="S299" s="46" t="s">
        <v>19</v>
      </c>
      <c r="T299" s="46" t="s">
        <v>19</v>
      </c>
      <c r="U299" s="46" t="s">
        <v>19</v>
      </c>
      <c r="V299" s="46" t="s">
        <v>19</v>
      </c>
      <c r="W299" s="46" t="s">
        <v>19</v>
      </c>
      <c r="X299" s="46" t="s">
        <v>75</v>
      </c>
    </row>
    <row r="300" spans="1:24">
      <c r="A300" s="46" t="s">
        <v>1442</v>
      </c>
      <c r="B300" s="47" t="s">
        <v>1443</v>
      </c>
      <c r="C300" s="46" t="s">
        <v>1445</v>
      </c>
      <c r="D300" s="46" t="s">
        <v>20</v>
      </c>
      <c r="E300" s="47" t="s">
        <v>1449</v>
      </c>
      <c r="F300" s="48" t="s">
        <v>1450</v>
      </c>
      <c r="G300" s="46"/>
      <c r="H300" s="47"/>
      <c r="I300" s="46"/>
      <c r="J300" s="46" t="s">
        <v>1452</v>
      </c>
      <c r="K300" s="47" t="s">
        <v>1443</v>
      </c>
      <c r="L300" s="52" t="str">
        <f>IF(M300&lt;=0.9,HYPERLINK("http://www.lxhausys.co.kr/popup/rn/download/downloadPopup.jsp?from=plwindow&amp;uu=/upload/window/REPORT/LGH-TW18-088 F-245S-422GGGG2A5.pdf","1등급"),IF(M300&lt;=1.2,HYPERLINK("http://www.lxhausys.co.kr/popup/rn/download/downloadPopup.jsp?from=plwindow&amp;uu=/upload/window/REPORT/LGH-TW18-088 F-245S-422GGGG2A5.pdf","2등급"),IF(M300&lt;=1.8,HYPERLINK("http://www.lxhausys.co.kr/popup/rn/download/downloadPopup.jsp?from=plwindow&amp;uu=/upload/window/REPORT/LGH-TW18-088 F-245S-422GGGG2A5.pdf","3등급"),IF(M300&lt;=2.3,HYPERLINK("http://www.lxhausys.co.kr/popup/rn/download/downloadPopup.jsp?from=plwindow&amp;uu=/upload/window/REPORT/LGH-TW18-088 F-245S-422GGGG2A5.pdf","4등급"),IF(M300&lt;=2.8,HYPERLINK("http://www.lxhausys.co.kr/popup/rn/download/downloadPopup.jsp?from=plwindow&amp;uu=/upload/window/REPORT/LGH-TW18-088 F-245S-422GGGG2A5.pdf","5등급"),HYPERLINK("http://www.lxhausys.co.kr/popup/rn/download/downloadPopup.jsp?from=plwindow&amp;uu=/upload/window/REPORT/LGH-TW18-088 F-245S-422GGGG2A5.pdf","등급외"))))))</f>
        <v>3등급</v>
      </c>
      <c r="M300" s="49">
        <v>1.2669999999999999</v>
      </c>
      <c r="N300" s="49">
        <v>0.83</v>
      </c>
      <c r="O300" s="46"/>
      <c r="P300" s="46" t="s">
        <v>1453</v>
      </c>
      <c r="Q300" s="46" t="s">
        <v>19</v>
      </c>
      <c r="R300" s="46" t="s">
        <v>19</v>
      </c>
      <c r="S300" s="46" t="s">
        <v>19</v>
      </c>
      <c r="T300" s="46" t="s">
        <v>19</v>
      </c>
      <c r="U300" s="46" t="s">
        <v>19</v>
      </c>
      <c r="V300" s="46" t="s">
        <v>19</v>
      </c>
      <c r="W300" s="46" t="s">
        <v>19</v>
      </c>
      <c r="X300" s="46" t="s">
        <v>75</v>
      </c>
    </row>
    <row r="301" spans="1:24">
      <c r="A301" s="46" t="s">
        <v>1442</v>
      </c>
      <c r="B301" s="47" t="s">
        <v>1444</v>
      </c>
      <c r="C301" s="46" t="s">
        <v>1446</v>
      </c>
      <c r="D301" s="46" t="s">
        <v>20</v>
      </c>
      <c r="E301" s="47" t="s">
        <v>1449</v>
      </c>
      <c r="F301" s="48" t="s">
        <v>1451</v>
      </c>
      <c r="G301" s="46"/>
      <c r="H301" s="47"/>
      <c r="I301" s="46"/>
      <c r="J301" s="46" t="s">
        <v>1452</v>
      </c>
      <c r="K301" s="47" t="s">
        <v>1444</v>
      </c>
      <c r="L301" s="52" t="str">
        <f>IF(M301&lt;=0.9,HYPERLINK("http://www.lxhausys.co.kr/popup/rn/download/downloadPopup.jsp?from=plwindow&amp;uu=/upload/window/REPORT/LGH-TW18-089 F-245S-422GGGL2A5.pdf","1등급"),IF(M301&lt;=1.2,HYPERLINK("http://www.lxhausys.co.kr/popup/rn/download/downloadPopup.jsp?from=plwindow&amp;uu=/upload/window/REPORT/LGH-TW18-089 F-245S-422GGGL2A5.pdf","2등급"),IF(M301&lt;=1.8,HYPERLINK("http://www.lxhausys.co.kr/popup/rn/download/downloadPopup.jsp?from=plwindow&amp;uu=/upload/window/REPORT/LGH-TW18-089 F-245S-422GGGL2A5.pdf","3등급"),IF(M301&lt;=2.3,HYPERLINK("http://www.lxhausys.co.kr/popup/rn/download/downloadPopup.jsp?from=plwindow&amp;uu=/upload/window/REPORT/LGH-TW18-089 F-245S-422GGGL2A5.pdf","4등급"),IF(M301&lt;=2.8,HYPERLINK("http://www.lxhausys.co.kr/popup/rn/download/downloadPopup.jsp?from=plwindow&amp;uu=/upload/window/REPORT/LGH-TW18-089 F-245S-422GGGL2A5.pdf","5등급"),HYPERLINK("http://www.lxhausys.co.kr/popup/rn/download/downloadPopup.jsp?from=plwindow&amp;uu=/upload/window/REPORT/LGH-TW18-089 F-245S-422GGGL2A54.pdf","등급외"))))))</f>
        <v>2등급</v>
      </c>
      <c r="M301" s="49">
        <v>0.99099999999999999</v>
      </c>
      <c r="N301" s="49">
        <v>0.76</v>
      </c>
      <c r="O301" s="46"/>
      <c r="P301" s="46" t="s">
        <v>613</v>
      </c>
      <c r="Q301" s="46" t="s">
        <v>19</v>
      </c>
      <c r="R301" s="46" t="s">
        <v>19</v>
      </c>
      <c r="S301" s="46" t="s">
        <v>19</v>
      </c>
      <c r="T301" s="46" t="s">
        <v>19</v>
      </c>
      <c r="U301" s="46" t="s">
        <v>19</v>
      </c>
      <c r="V301" s="46" t="s">
        <v>19</v>
      </c>
      <c r="W301" s="46" t="s">
        <v>19</v>
      </c>
      <c r="X301" s="46" t="s">
        <v>75</v>
      </c>
    </row>
    <row r="302" spans="1:24">
      <c r="A302" s="46" t="s">
        <v>706</v>
      </c>
      <c r="B302" s="47" t="s">
        <v>1454</v>
      </c>
      <c r="C302" s="46" t="s">
        <v>1460</v>
      </c>
      <c r="D302" s="46" t="s">
        <v>20</v>
      </c>
      <c r="E302" s="47" t="s">
        <v>1468</v>
      </c>
      <c r="F302" s="48" t="s">
        <v>1448</v>
      </c>
      <c r="G302" s="46"/>
      <c r="H302" s="46"/>
      <c r="I302" s="46"/>
      <c r="J302" s="46" t="s">
        <v>1410</v>
      </c>
      <c r="K302" s="47" t="s">
        <v>1454</v>
      </c>
      <c r="L302" s="52" t="str">
        <f>IF(M302&lt;=0.9,HYPERLINK("http://www.lxhausys.co.kr/popup/rn/download/downloadPopup.jsp?from=plwindow&amp;uu=/upload/window/REPORT/LXH-EA25-082 F-250I-466NGGG2A5.pdf","1등급"),IF(M302&lt;=1.2,HYPERLINK("http://www.lxhausys.co.kr/popup/rn/download/downloadPopup.jsp?from=plwindow&amp;uu=/upload/window/REPORT/LXH-EA25-082 F-250I-466NGGG2A5.pdf","2등급"),IF(M302&lt;=1.8,HYPERLINK("http://www.lxhausys.co.kr/popup/rn/download/downloadPopup.jsp?from=plwindow&amp;uu=/upload/window/REPORT/LXH-EA25-082 F-250I-466NGGG2A5.pdf","3등급"),IF(M302&lt;=2.3,HYPERLINK("http://www.lxhausys.co.kr/popup/rn/download/downloadPopup.jsp?from=plwindow&amp;uu=/upload/window/REPORT/LXH-EA25-082 F-250I-466NGGG2A5.pdf","4등급"),IF(M302&lt;=2.8,HYPERLINK("http://www.lxhausys.co.kr/popup/rn/download/downloadPopup.jsp?from=plwindow&amp;uu=/upload/window/REPORT/LXH-EA25-082 F-250I-466NGGG2A5.pdf","5등급"),HYPERLINK("http://www.lxhausys.co.kr/popup/rn/download/downloadPopup.jsp?from=plwindow&amp;uu=/upload/window/REPORT/LXH-EA25-082 F-250I-466NGGG2A54.pdf","등급외"))))))</f>
        <v>2등급</v>
      </c>
      <c r="M302" s="49">
        <v>0.93600000000000005</v>
      </c>
      <c r="N302" s="49">
        <v>0.73</v>
      </c>
      <c r="O302" s="46"/>
      <c r="P302" s="46" t="s">
        <v>103</v>
      </c>
      <c r="Q302" s="46" t="s">
        <v>19</v>
      </c>
      <c r="R302" s="46" t="s">
        <v>19</v>
      </c>
      <c r="S302" s="46" t="s">
        <v>19</v>
      </c>
      <c r="T302" s="46" t="s">
        <v>19</v>
      </c>
      <c r="U302" s="46" t="s">
        <v>19</v>
      </c>
      <c r="V302" s="46" t="s">
        <v>19</v>
      </c>
      <c r="W302" s="46" t="s">
        <v>19</v>
      </c>
      <c r="X302" s="46" t="s">
        <v>75</v>
      </c>
    </row>
    <row r="303" spans="1:24">
      <c r="A303" s="46" t="s">
        <v>706</v>
      </c>
      <c r="B303" s="47" t="s">
        <v>1455</v>
      </c>
      <c r="C303" s="46" t="s">
        <v>1461</v>
      </c>
      <c r="D303" s="46" t="s">
        <v>20</v>
      </c>
      <c r="E303" s="47" t="s">
        <v>1469</v>
      </c>
      <c r="F303" s="48" t="s">
        <v>1470</v>
      </c>
      <c r="G303" s="46"/>
      <c r="H303" s="46"/>
      <c r="I303" s="46"/>
      <c r="J303" s="46" t="s">
        <v>1410</v>
      </c>
      <c r="K303" s="47" t="s">
        <v>1455</v>
      </c>
      <c r="L303" s="52" t="str">
        <f>IF(M303&lt;=0.9,HYPERLINK("http://www.lxhausys.co.kr/popup/rn/download/downloadPopup.jsp?from=plwindow&amp;uu=/upload/window/REPORT/LXH-EA25-081 F-250I-444NGGG2A5.pdf","1등급"),IF(M303&lt;=1.2,HYPERLINK("http://www.lxhausys.co.kr/popup/rn/download/downloadPopup.jsp?from=plwindow&amp;uu=/upload/window/REPORT/LXH-EA25-081 F-250I-444NGGG2A5.pdf","2등급"),IF(M303&lt;=1.8,HYPERLINK("http://www.lxhausys.co.kr/popup/rn/download/downloadPopup.jsp?from=plwindow&amp;uu=/upload/window/REPORT/LXH-EA25-081 F-250I-444NGGG2A5.pdf","3등급"),IF(M303&lt;=2.3,HYPERLINK("http://www.lxhausys.co.kr/popup/rn/download/downloadPopup.jsp?from=plwindow&amp;uu=/upload/window/REPORT/LXH-EA25-081 F-250I-444NGGG2A5.pdf","4등급"),IF(M303&lt;=2.8,HYPERLINK("http://www.lxhausys.co.kr/popup/rn/download/downloadPopup.jsp?from=plwindow&amp;uu=/upload/window/REPORT/LXH-EA25-081 F-250I-444NGGG2A5.pdf","5등급"),HYPERLINK("http://www.lxhausys.co.kr/popup/rn/download/downloadPopup.jsp?from=plwindow&amp;uu=/upload/window/REPORT/LXH-EA25-081 F-250I-444NGGG2A54.pdf","등급외"))))))</f>
        <v>2등급</v>
      </c>
      <c r="M303" s="49">
        <v>0.94399999999999995</v>
      </c>
      <c r="N303" s="49">
        <v>0.77</v>
      </c>
      <c r="O303" s="46"/>
      <c r="P303" s="46" t="s">
        <v>103</v>
      </c>
      <c r="Q303" s="46" t="s">
        <v>19</v>
      </c>
      <c r="R303" s="46" t="s">
        <v>19</v>
      </c>
      <c r="S303" s="46" t="s">
        <v>19</v>
      </c>
      <c r="T303" s="46" t="s">
        <v>19</v>
      </c>
      <c r="U303" s="46" t="s">
        <v>19</v>
      </c>
      <c r="V303" s="46" t="s">
        <v>19</v>
      </c>
      <c r="W303" s="46" t="s">
        <v>19</v>
      </c>
      <c r="X303" s="46" t="s">
        <v>75</v>
      </c>
    </row>
    <row r="304" spans="1:24">
      <c r="A304" s="46" t="s">
        <v>707</v>
      </c>
      <c r="B304" s="47" t="s">
        <v>1456</v>
      </c>
      <c r="C304" s="46" t="s">
        <v>1462</v>
      </c>
      <c r="D304" s="46" t="s">
        <v>20</v>
      </c>
      <c r="E304" s="47" t="s">
        <v>1468</v>
      </c>
      <c r="F304" s="48" t="s">
        <v>1448</v>
      </c>
      <c r="G304" s="46"/>
      <c r="H304" s="46"/>
      <c r="I304" s="46"/>
      <c r="J304" s="46" t="s">
        <v>1410</v>
      </c>
      <c r="K304" s="47" t="s">
        <v>1456</v>
      </c>
      <c r="L304" s="52" t="str">
        <f>IF(M304&lt;=0.9,HYPERLINK("http://www.lxhausys.co.kr/popup/rn/download/downloadPopup.jsp?from=plwindow&amp;uu=/upload/window/REPORT/LXH-EA25-080 F-270I-466NGGG2A5.pdf","1등급"),IF(M304&lt;=1.2,HYPERLINK("http://www.lxhausys.co.kr/popup/rn/download/downloadPopup.jsp?from=plwindow&amp;uu=/upload/window/REPORT/LXH-EA25-080 F-270I-466NGGG2A5.pdf","2등급"),IF(M304&lt;=1.8,HYPERLINK("http://www.lxhausys.co.kr/popup/rn/download/downloadPopup.jsp?from=plwindow&amp;uu=/upload/window/REPORT/LXH-EA25-080 F-270I-466NGGG2A5.pdf","3등급"),IF(M304&lt;=2.3,HYPERLINK("http://www.lxhausys.co.kr/popup/rn/download/downloadPopup.jsp?from=plwindow&amp;uu=/upload/window/REPORT/LXH-EA25-080 F-270I-466NGGG2A5.pdf","4등급"),IF(M304&lt;=2.8,HYPERLINK("http://www.lxhausys.co.kr/popup/rn/download/downloadPopup.jsp?from=plwindow&amp;uu=/upload/window/REPORT/LXH-EA25-080 F-270I-466NGGG2A5.pdf","5등급"),HYPERLINK("http://www.lxhausys.co.kr/popup/rn/download/downloadPopup.jsp?from=plwindow&amp;uu=/upload/window/REPORT/LXH-EA25-080 F-270I-466NGGG2A54.pdf","등급외"))))))</f>
        <v>2등급</v>
      </c>
      <c r="M304" s="49">
        <v>0.93700000000000006</v>
      </c>
      <c r="N304" s="49">
        <v>0.79</v>
      </c>
      <c r="O304" s="46"/>
      <c r="P304" s="46" t="s">
        <v>103</v>
      </c>
      <c r="Q304" s="46" t="s">
        <v>19</v>
      </c>
      <c r="R304" s="46" t="s">
        <v>19</v>
      </c>
      <c r="S304" s="46" t="s">
        <v>19</v>
      </c>
      <c r="T304" s="46" t="s">
        <v>19</v>
      </c>
      <c r="U304" s="46" t="s">
        <v>19</v>
      </c>
      <c r="V304" s="46" t="s">
        <v>19</v>
      </c>
      <c r="W304" s="46" t="s">
        <v>19</v>
      </c>
      <c r="X304" s="46" t="s">
        <v>75</v>
      </c>
    </row>
    <row r="305" spans="1:24">
      <c r="A305" s="46" t="s">
        <v>672</v>
      </c>
      <c r="B305" s="47" t="s">
        <v>1457</v>
      </c>
      <c r="C305" s="46" t="s">
        <v>1463</v>
      </c>
      <c r="D305" s="46" t="s">
        <v>20</v>
      </c>
      <c r="E305" s="47" t="s">
        <v>1466</v>
      </c>
      <c r="F305" s="48"/>
      <c r="G305" s="46"/>
      <c r="H305" s="46"/>
      <c r="I305" s="46"/>
      <c r="J305" s="46" t="s">
        <v>1410</v>
      </c>
      <c r="K305" s="47" t="s">
        <v>1457</v>
      </c>
      <c r="L305" s="52" t="str">
        <f>IF(M305&lt;=0.9,HYPERLINK("http://www.lxhausys.co.kr/popup/rn/download/downloadPopup.jsp?from=plwindow&amp;uu=/upload/window/REPORT/LXH-EA25-079 F-140-224FFNG1R5.pdf","1등급"),IF(M305&lt;=1.2,HYPERLINK("http://www.lxhausys.co.kr/popup/rn/download/downloadPopup.jsp?from=plwindow&amp;uu=/upload/window/REPORT/LXH-EA25-079 F-140-224FFNG1R5.pdf","2등급"),IF(M305&lt;=1.8,HYPERLINK("http://www.lxhausys.co.kr/popup/rn/download/downloadPopup.jsp?from=plwindow&amp;uu=/upload/window/REPORT/LXH-EA25-079 F-140-224FFNG1R5.pdf","3등급"),IF(M305&lt;=2.3,HYPERLINK("http://www.lxhausys.co.kr/popup/rn/download/downloadPopup.jsp?from=plwindow&amp;uu=/upload/window/REPORT/LXH-EA25-079 F-140-224FFNG1R5.pdf","4등급"),IF(M305&lt;=2.8,HYPERLINK("http://www.lxhausys.co.kr/popup/rn/download/downloadPopup.jsp?from=plwindow&amp;uu=/upload/window/REPORT/LXH-EA25-079 F-140-224FFNG1R5.pdf","5등급"),HYPERLINK("http://www.lxhausys.co.kr/popup/rn/download/downloadPopup.jsp?from=plwindow&amp;uu=/upload/window/REPORT/LXH-EA25-079 F-140-224FFNG1R54.pdf","등급외"))))))</f>
        <v>3등급</v>
      </c>
      <c r="M305" s="49">
        <v>1.712</v>
      </c>
      <c r="N305" s="49">
        <v>1.39</v>
      </c>
      <c r="O305" s="46"/>
      <c r="P305" s="46" t="s">
        <v>150</v>
      </c>
      <c r="Q305" s="46" t="s">
        <v>19</v>
      </c>
      <c r="R305" s="46" t="s">
        <v>19</v>
      </c>
      <c r="S305" s="46" t="s">
        <v>19</v>
      </c>
      <c r="T305" s="46" t="s">
        <v>19</v>
      </c>
      <c r="U305" s="46" t="s">
        <v>19</v>
      </c>
      <c r="V305" s="46" t="s">
        <v>19</v>
      </c>
      <c r="W305" s="46" t="s">
        <v>19</v>
      </c>
      <c r="X305" s="46" t="s">
        <v>75</v>
      </c>
    </row>
    <row r="306" spans="1:24">
      <c r="A306" s="46" t="s">
        <v>707</v>
      </c>
      <c r="B306" s="47" t="s">
        <v>1458</v>
      </c>
      <c r="C306" s="46" t="s">
        <v>1464</v>
      </c>
      <c r="D306" s="46" t="s">
        <v>20</v>
      </c>
      <c r="E306" s="47" t="s">
        <v>1469</v>
      </c>
      <c r="F306" s="48" t="s">
        <v>1470</v>
      </c>
      <c r="G306" s="46"/>
      <c r="H306" s="46"/>
      <c r="I306" s="46"/>
      <c r="J306" s="46" t="s">
        <v>1410</v>
      </c>
      <c r="K306" s="47" t="s">
        <v>1458</v>
      </c>
      <c r="L306" s="52" t="str">
        <f>IF(M306&lt;=0.9,HYPERLINK("http://www.lxhausys.co.kr/popup/rn/download/downloadPopup.jsp?from=plwindow&amp;uu=/upload/window/REPORT/LXH-EA25-078 F-270I-444NGGG2A5.pdf","1등급"),IF(M306&lt;=1.2,HYPERLINK("http://www.lxhausys.co.kr/popup/rn/download/downloadPopup.jsp?from=plwindow&amp;uu=/upload/window/REPORT/LXH-EA25-078 F-270I-444NGGG2A5.pdf","2등급"),IF(M306&lt;=1.8,HYPERLINK("http://www.lxhausys.co.kr/popup/rn/download/downloadPopup.jsp?from=plwindow&amp;uu=/upload/window/REPORT/LXH-EA25-078 F-270I-444NGGG2A5.pdf","3등급"),IF(M306&lt;=2.3,HYPERLINK("http://www.lxhausys.co.kr/popup/rn/download/downloadPopup.jsp?from=plwindow&amp;uu=/upload/window/REPORT/LXH-EA25-078 F-270I-444NGGG2A5.pdf","4등급"),IF(M306&lt;=2.8,HYPERLINK("http://www.lxhausys.co.kr/popup/rn/download/downloadPopup.jsp?from=plwindow&amp;uu=/upload/window/REPORT/LXH-EA25-078 F-270I-444NGGG2A5.pdf","5등급"),HYPERLINK("http://www.lxhausys.co.kr/popup/rn/download/downloadPopup.jsp?from=plwindow&amp;uu=/upload/window/REPORT/LXH-EA25-078 F-270I-444NGGG2A54.pdf","등급외"))))))</f>
        <v>2등급</v>
      </c>
      <c r="M306" s="49">
        <v>0.94399999999999995</v>
      </c>
      <c r="N306" s="49">
        <v>0.76</v>
      </c>
      <c r="O306" s="46"/>
      <c r="P306" s="46" t="s">
        <v>103</v>
      </c>
      <c r="Q306" s="46" t="s">
        <v>19</v>
      </c>
      <c r="R306" s="46" t="s">
        <v>19</v>
      </c>
      <c r="S306" s="46" t="s">
        <v>19</v>
      </c>
      <c r="T306" s="46" t="s">
        <v>19</v>
      </c>
      <c r="U306" s="46" t="s">
        <v>19</v>
      </c>
      <c r="V306" s="46" t="s">
        <v>19</v>
      </c>
      <c r="W306" s="46" t="s">
        <v>19</v>
      </c>
      <c r="X306" s="46" t="s">
        <v>75</v>
      </c>
    </row>
    <row r="307" spans="1:24">
      <c r="A307" s="46" t="s">
        <v>672</v>
      </c>
      <c r="B307" s="47" t="s">
        <v>1459</v>
      </c>
      <c r="C307" s="46" t="s">
        <v>1465</v>
      </c>
      <c r="D307" s="46" t="s">
        <v>20</v>
      </c>
      <c r="E307" s="47" t="s">
        <v>1467</v>
      </c>
      <c r="F307" s="48"/>
      <c r="G307" s="46"/>
      <c r="H307" s="46"/>
      <c r="I307" s="46"/>
      <c r="J307" s="46" t="s">
        <v>1410</v>
      </c>
      <c r="K307" s="47" t="s">
        <v>1459</v>
      </c>
      <c r="L307" s="52" t="str">
        <f>IF(M307&lt;=0.9,HYPERLINK("http://www.lxhausys.co.kr/popup/rn/download/downloadPopup.jsp?from=plwindow&amp;uu=/upload/window/REPORT/LXH-EA25-077 F-140-226FFNG1R5.pdf","1등급"),IF(M307&lt;=1.2,HYPERLINK("http://www.lxhausys.co.kr/popup/rn/download/downloadPopup.jsp?from=plwindow&amp;uu=/upload/window/REPORT/LXH-EA25-077 F-140-226FFNG1R5.pdf","2등급"),IF(M307&lt;=1.8,HYPERLINK("http://www.lxhausys.co.kr/popup/rn/download/downloadPopup.jsp?from=plwindow&amp;uu=/upload/window/REPORT/LXH-EA25-077 F-140-226FFNG1R5.pdf","3등급"),IF(M307&lt;=2.3,HYPERLINK("http://www.lxhausys.co.kr/popup/rn/download/downloadPopup.jsp?from=plwindow&amp;uu=/upload/window/REPORT/LXH-EA25-077 F-140-226FFNG1R5.pdf","4등급"),IF(M307&lt;=2.8,HYPERLINK("http://www.lxhausys.co.kr/popup/rn/download/downloadPopup.jsp?from=plwindow&amp;uu=/upload/window/REPORT/LXH-EA25-077 F-140-226FFNG1R5.pdf","5등급"),HYPERLINK("http://www.lxhausys.co.kr/popup/rn/download/downloadPopup.jsp?from=plwindow&amp;uu=/upload/window/REPORT/LXH-EA25-077 F-140-226FFNG1R54.pdf","등급외"))))))</f>
        <v>3등급</v>
      </c>
      <c r="M307" s="49">
        <v>1.569</v>
      </c>
      <c r="N307" s="49">
        <v>1.35</v>
      </c>
      <c r="O307" s="46"/>
      <c r="P307" s="46" t="s">
        <v>150</v>
      </c>
      <c r="Q307" s="46" t="s">
        <v>19</v>
      </c>
      <c r="R307" s="46" t="s">
        <v>19</v>
      </c>
      <c r="S307" s="46" t="s">
        <v>19</v>
      </c>
      <c r="T307" s="46" t="s">
        <v>19</v>
      </c>
      <c r="U307" s="46" t="s">
        <v>19</v>
      </c>
      <c r="V307" s="46" t="s">
        <v>19</v>
      </c>
      <c r="W307" s="46" t="s">
        <v>19</v>
      </c>
      <c r="X307" s="46" t="s">
        <v>75</v>
      </c>
    </row>
    <row r="308" spans="1:24">
      <c r="A308" s="42" t="s">
        <v>671</v>
      </c>
      <c r="B308" s="43" t="s">
        <v>1511</v>
      </c>
      <c r="C308" s="46" t="s">
        <v>1513</v>
      </c>
      <c r="D308" s="46" t="s">
        <v>20</v>
      </c>
      <c r="E308" s="43" t="s">
        <v>1514</v>
      </c>
      <c r="F308" s="44" t="s">
        <v>1515</v>
      </c>
      <c r="G308" s="46"/>
      <c r="H308" s="46"/>
      <c r="I308" s="46"/>
      <c r="J308" s="46" t="s">
        <v>1410</v>
      </c>
      <c r="K308" s="43" t="s">
        <v>1511</v>
      </c>
      <c r="L308" s="52" t="str">
        <f>IF(M308&lt;=0.9,HYPERLINK("http://www.lxhausys.co.kr/popup/rn/download/downloadPopup.jsp?from=plwindow&amp;uu=/upload/window/REPORT/LXH-EA25-090 F-250-466NGGG1R5.pdf","1등급"),IF(M308&lt;=1.2,HYPERLINK("http://www.lxhausys.co.kr/popup/rn/download/downloadPopup.jsp?from=plwindow&amp;uu=/upload/window/REPORT/LXH-EA25-090 F-250-466NGGG1R5.pdf","2등급"),IF(M308&lt;=1.8,HYPERLINK("http://www.lxhausys.co.kr/popup/rn/download/downloadPopup.jsp?from=plwindow&amp;uu=/upload/window/REPORT/LXH-EA25-090 F-250-466NGGG1R5.pdf","3등급"),IF(M308&lt;=2.3,HYPERLINK("http://www.lxhausys.co.kr/popup/rn/download/downloadPopup.jsp?from=plwindow&amp;uu=/upload/window/REPORT/LXH-EA25-090 F-250-466NGGG1R5.pdf","4등급"),IF(M308&lt;=2.8,HYPERLINK("http://www.lxhausys.co.kr/popup/rn/download/downloadPopup.jsp?from=plwindow&amp;uu=/upload/window/REPORT/LXH-EA25-090 F-250-466NGGG1R5.pdf","5등급"),HYPERLINK("http://www.lxhausys.co.kr/popup/rn/download/downloadPopup.jsp?from=plwindow&amp;uu=/upload/window/REPORT/LXH-EA25-090 F-250-466NGGG1R54.pdf","등급외"))))))</f>
        <v>1등급</v>
      </c>
      <c r="M308" s="49">
        <v>0.79100000000000004</v>
      </c>
      <c r="N308" s="49">
        <v>0.75</v>
      </c>
      <c r="O308" s="42"/>
      <c r="P308" s="42" t="s">
        <v>1517</v>
      </c>
      <c r="Q308" s="46" t="s">
        <v>19</v>
      </c>
      <c r="R308" s="46" t="s">
        <v>19</v>
      </c>
      <c r="S308" s="46" t="s">
        <v>19</v>
      </c>
      <c r="T308" s="46" t="s">
        <v>19</v>
      </c>
      <c r="U308" s="46" t="s">
        <v>19</v>
      </c>
      <c r="V308" s="46" t="s">
        <v>19</v>
      </c>
      <c r="W308" s="46" t="s">
        <v>19</v>
      </c>
      <c r="X308" s="46" t="s">
        <v>75</v>
      </c>
    </row>
    <row r="309" spans="1:24" s="51" customFormat="1">
      <c r="A309" s="46" t="s">
        <v>671</v>
      </c>
      <c r="B309" s="47" t="s">
        <v>1512</v>
      </c>
      <c r="C309" s="46" t="s">
        <v>1658</v>
      </c>
      <c r="D309" s="46" t="s">
        <v>20</v>
      </c>
      <c r="E309" s="47" t="s">
        <v>1516</v>
      </c>
      <c r="F309" s="48" t="s">
        <v>1515</v>
      </c>
      <c r="G309" s="46"/>
      <c r="H309" s="46"/>
      <c r="I309" s="46"/>
      <c r="J309" s="46" t="s">
        <v>1410</v>
      </c>
      <c r="K309" s="47" t="s">
        <v>1512</v>
      </c>
      <c r="L309" s="52" t="str">
        <f>IF(M309&lt;=0.9,HYPERLINK("http://www.lxhausys.co.kr/popup/rn/download/downloadPopup.jsp?from=plwindow&amp;uu=/upload/window/REPORT/LXH-EA26-014 F-250-466NGGG2A5.pdf","1등급"),IF(M309&lt;=1.2,HYPERLINK("http://www.lxhausys.co.kr/popup/rn/download/downloadPopup.jsp?from=plwindow&amp;uu=/upload/window/REPORT/LXH-EA26-014 F-250-466NGGG2A5.pdf","2등급"),IF(M309&lt;=1.8,HYPERLINK("http://www.lxhausys.co.kr/popup/rn/download/downloadPopup.jsp?from=plwindow&amp;uu=/upload/window/REPORT/LXH-EA26-014 F-250-466NGGG2A5.pdf","3등급"),IF(M309&lt;=2.3,HYPERLINK("http://www.lxhausys.co.kr/popup/rn/download/downloadPopup.jsp?from=plwindow&amp;uu=/upload/window/REPORT/LXH-EA26-014 F-250-466NGGG2A5.pdf","4등급"),IF(M309&lt;=2.8,HYPERLINK("http://www.lxhausys.co.kr/popup/rn/download/downloadPopup.jsp?from=plwindow&amp;uu=/upload/window/REPORT/LXH-EA26-014 F-250-466NGGG2A5.pdf","5등급"),HYPERLINK("http://www.lxhausys.co.kr/popup/rn/download/downloadPopup.jsp?from=plwindow&amp;uu=/upload/window/REPORT/LXH-EA26-014 F-250-466NGGG2A54.pdf","등급외"))))))</f>
        <v>1등급</v>
      </c>
      <c r="M309" s="49">
        <v>0.85299999999999998</v>
      </c>
      <c r="N309" s="49">
        <v>0.82</v>
      </c>
      <c r="O309" s="46"/>
      <c r="P309" s="46" t="s">
        <v>619</v>
      </c>
      <c r="Q309" s="46" t="s">
        <v>19</v>
      </c>
      <c r="R309" s="46" t="s">
        <v>19</v>
      </c>
      <c r="S309" s="46" t="s">
        <v>19</v>
      </c>
      <c r="T309" s="46" t="s">
        <v>19</v>
      </c>
      <c r="U309" s="46" t="s">
        <v>19</v>
      </c>
      <c r="V309" s="46" t="s">
        <v>19</v>
      </c>
      <c r="W309" s="46" t="s">
        <v>19</v>
      </c>
      <c r="X309" s="46" t="s">
        <v>75</v>
      </c>
    </row>
    <row r="310" spans="1:24">
      <c r="A310" s="42" t="s">
        <v>673</v>
      </c>
      <c r="B310" s="43" t="s">
        <v>1471</v>
      </c>
      <c r="C310" s="46" t="s">
        <v>1488</v>
      </c>
      <c r="D310" s="46" t="s">
        <v>20</v>
      </c>
      <c r="E310" s="43" t="s">
        <v>1466</v>
      </c>
      <c r="F310" s="44"/>
      <c r="G310" s="47"/>
      <c r="H310" s="46"/>
      <c r="I310" s="46"/>
      <c r="J310" s="46" t="s">
        <v>1410</v>
      </c>
      <c r="K310" s="43" t="s">
        <v>1471</v>
      </c>
      <c r="L310" s="52" t="str">
        <f>IF(M310&lt;=0.9,HYPERLINK("http://www.lxhausys.co.kr/popup/rn/download/downloadPopup.jsp?from=plwindow&amp;uu=/upload/window/REPORT/LXH-EA25-094 F-145-224FFNG1R5.pdf","1등급"),IF(M310&lt;=1.2,HYPERLINK("http://www.lxhausys.co.kr/popup/rn/download/downloadPopup.jsp?from=plwindow&amp;uu=/upload/window/REPORT/LXH-EA25-094 F-145-224FFNG1R5.pdf","2등급"),IF(M310&lt;=1.8,HYPERLINK("http://www.lxhausys.co.kr/popup/rn/download/downloadPopup.jsp?from=plwindow&amp;uu=/upload/window/REPORT/LXH-EA25-094 F-145-224FFNG1R5.pdf","3등급"),IF(M310&lt;=2.3,HYPERLINK("http://www.lxhausys.co.kr/popup/rn/download/downloadPopup.jsp?from=plwindow&amp;uu=/upload/window/REPORT/LXH-EA25-094 F-145-224FFNG1R5.pdf","4등급"),IF(M310&lt;=2.8,HYPERLINK("http://www.lxhausys.co.kr/popup/rn/download/downloadPopup.jsp?from=plwindow&amp;uu=/upload/window/REPORT/LXH-EA25-094 F-145-224FFNG1R5.pdf","5등급"),HYPERLINK("http://www.lxhausys.co.kr/popup/rn/download/downloadPopup.jsp?from=plwindow&amp;uu=/upload/window/REPORT/LXH-EA25-094 F-145-224FFNG1R54.pdf","등급외"))))))</f>
        <v>3등급</v>
      </c>
      <c r="M310" s="49">
        <v>1.7250000000000001</v>
      </c>
      <c r="N310" s="49">
        <v>1.74</v>
      </c>
      <c r="O310" s="42"/>
      <c r="P310" s="42" t="s">
        <v>150</v>
      </c>
      <c r="Q310" s="46" t="s">
        <v>19</v>
      </c>
      <c r="R310" s="46" t="s">
        <v>19</v>
      </c>
      <c r="S310" s="46" t="s">
        <v>19</v>
      </c>
      <c r="T310" s="46" t="s">
        <v>19</v>
      </c>
      <c r="U310" s="46" t="s">
        <v>19</v>
      </c>
      <c r="V310" s="46" t="s">
        <v>19</v>
      </c>
      <c r="W310" s="46" t="s">
        <v>19</v>
      </c>
      <c r="X310" s="46" t="s">
        <v>75</v>
      </c>
    </row>
    <row r="311" spans="1:24">
      <c r="A311" s="42" t="s">
        <v>674</v>
      </c>
      <c r="B311" s="43" t="s">
        <v>1472</v>
      </c>
      <c r="C311" s="46" t="s">
        <v>1489</v>
      </c>
      <c r="D311" s="46" t="s">
        <v>20</v>
      </c>
      <c r="E311" s="43" t="s">
        <v>1466</v>
      </c>
      <c r="F311" s="44"/>
      <c r="G311" s="43"/>
      <c r="H311" s="42"/>
      <c r="I311" s="42"/>
      <c r="J311" s="46" t="s">
        <v>1410</v>
      </c>
      <c r="K311" s="43" t="s">
        <v>1472</v>
      </c>
      <c r="L311" s="52" t="str">
        <f>IF(M311&lt;=0.9,HYPERLINK("http://www.lxhausys.co.kr/popup/rn/download/downloadPopup.jsp?from=plwindow&amp;uu=/upload/window/REPORT/LXH-EA25-095 F-230W-224FFNG1R5.pdf","1등급"),IF(M311&lt;=1.2,HYPERLINK("http://www.lxhausys.co.kr/popup/rn/download/downloadPopup.jsp?from=plwindow&amp;uu=/upload/window/REPORT/LXH-EA25-095 F-230W-224FFNG1R5.pdf","2등급"),IF(M311&lt;=1.8,HYPERLINK("http://www.lxhausys.co.kr/popup/rn/download/downloadPopup.jsp?from=plwindow&amp;uu=/upload/window/REPORT/LXH-EA25-095 F-230W-224FFNG1R5.pdf","3등급"),IF(M311&lt;=2.3,HYPERLINK("http://www.lxhausys.co.kr/popup/rn/download/downloadPopup.jsp?from=plwindow&amp;uu=/upload/window/REPORT/LXH-EA25-095 F-230W-224FFNG1R5.pdf","4등급"),IF(M311&lt;=2.8,HYPERLINK("http://www.lxhausys.co.kr/popup/rn/download/downloadPopup.jsp?from=plwindow&amp;uu=/upload/window/REPORT/LXH-EA25-095 F-230W-224FFNG1R5.pdf","5등급"),HYPERLINK("http://www.lxhausys.co.kr/popup/rn/download/downloadPopup.jsp?from=plwindow&amp;uu=/upload/window/REPORT/LXH-EA25-095 F-230W-224FFNG1R54.pdf","등급외"))))))</f>
        <v>3등급</v>
      </c>
      <c r="M311" s="49">
        <v>1.56</v>
      </c>
      <c r="N311" s="49">
        <v>1.66</v>
      </c>
      <c r="O311" s="42"/>
      <c r="P311" s="42" t="s">
        <v>150</v>
      </c>
      <c r="Q311" s="46" t="s">
        <v>19</v>
      </c>
      <c r="R311" s="46" t="s">
        <v>19</v>
      </c>
      <c r="S311" s="46" t="s">
        <v>19</v>
      </c>
      <c r="T311" s="46" t="s">
        <v>19</v>
      </c>
      <c r="U311" s="46" t="s">
        <v>19</v>
      </c>
      <c r="V311" s="46" t="s">
        <v>19</v>
      </c>
      <c r="W311" s="46" t="s">
        <v>19</v>
      </c>
      <c r="X311" s="46" t="s">
        <v>75</v>
      </c>
    </row>
    <row r="312" spans="1:24">
      <c r="A312" s="42" t="s">
        <v>671</v>
      </c>
      <c r="B312" s="43" t="s">
        <v>1473</v>
      </c>
      <c r="C312" s="46" t="s">
        <v>1490</v>
      </c>
      <c r="D312" s="46" t="s">
        <v>20</v>
      </c>
      <c r="E312" s="50" t="s">
        <v>1509</v>
      </c>
      <c r="F312" s="44" t="s">
        <v>1470</v>
      </c>
      <c r="G312" s="43"/>
      <c r="H312" s="42"/>
      <c r="I312" s="42"/>
      <c r="J312" s="46" t="s">
        <v>1410</v>
      </c>
      <c r="K312" s="43" t="s">
        <v>1473</v>
      </c>
      <c r="L312" s="52" t="str">
        <f>IF(M312&lt;=0.9,HYPERLINK("http://www.lxhausys.co.kr/popup/rn/download/downloadPopup.jsp?from=plwindow&amp;uu=/upload/window/REPORT/LXH-EA25-096 F-250-444NGGG1R5.pdf","1등급"),IF(M312&lt;=1.2,HYPERLINK("http://www.lxhausys.co.kr/popup/rn/download/downloadPopup.jsp?from=plwindow&amp;uu=/upload/window/REPORT/LXH-EA25-096 F-250-444NGGG1R5.pdf","2등급"),IF(M312&lt;=1.8,HYPERLINK("http://www.lxhausys.co.kr/popup/rn/download/downloadPopup.jsp?from=plwindow&amp;uu=/upload/window/REPORT/LXH-EA25-096 F-250-444NGGG1R5.pdf","3등급"),IF(M312&lt;=2.3,HYPERLINK("http://www.lxhausys.co.kr/popup/rn/download/downloadPopup.jsp?from=plwindow&amp;uu=/upload/window/REPORT/LXH-EA25-096 F-250-444NGGG1R5.pdf","4등급"),IF(M312&lt;=2.8,HYPERLINK("http://www.lxhausys.co.kr/popup/rn/download/downloadPopup.jsp?from=plwindow&amp;uu=/upload/window/REPORT/LXH-EA25-096 F-250-444NGGG1R5.pdf","5등급"),HYPERLINK("http://www.lxhausys.co.kr/popup/rn/download/downloadPopup.jsp?from=plwindow&amp;uu=/upload/window/REPORT/LXH-EA25-096 F-250-444NGGG1R54.pdf","등급외"))))))</f>
        <v>1등급</v>
      </c>
      <c r="M312" s="49">
        <v>0.86299999999999999</v>
      </c>
      <c r="N312" s="49">
        <v>0.74</v>
      </c>
      <c r="O312" s="42"/>
      <c r="P312" s="42" t="s">
        <v>22</v>
      </c>
      <c r="Q312" s="46" t="s">
        <v>19</v>
      </c>
      <c r="R312" s="46" t="s">
        <v>19</v>
      </c>
      <c r="S312" s="46" t="s">
        <v>19</v>
      </c>
      <c r="T312" s="46" t="s">
        <v>19</v>
      </c>
      <c r="U312" s="46" t="s">
        <v>19</v>
      </c>
      <c r="V312" s="46" t="s">
        <v>19</v>
      </c>
      <c r="W312" s="46" t="s">
        <v>19</v>
      </c>
      <c r="X312" s="46" t="s">
        <v>75</v>
      </c>
    </row>
    <row r="313" spans="1:24">
      <c r="A313" s="42" t="s">
        <v>674</v>
      </c>
      <c r="B313" s="43" t="s">
        <v>1474</v>
      </c>
      <c r="C313" s="46" t="s">
        <v>1491</v>
      </c>
      <c r="D313" s="46" t="s">
        <v>20</v>
      </c>
      <c r="E313" s="43" t="s">
        <v>1467</v>
      </c>
      <c r="F313" s="44"/>
      <c r="G313" s="43"/>
      <c r="H313" s="42"/>
      <c r="I313" s="42"/>
      <c r="J313" s="46" t="s">
        <v>1410</v>
      </c>
      <c r="K313" s="43" t="s">
        <v>1474</v>
      </c>
      <c r="L313" s="52" t="str">
        <f>IF(M313&lt;=0.9,HYPERLINK("http://www.lxhausys.co.kr/popup/rn/download/downloadPopup.jsp?from=plwindow&amp;uu=/upload/window/REPORT/LXH-EA25-097 F-230W-226FFNG1R5.pdf","1등급"),IF(M313&lt;=1.2,HYPERLINK("http://www.lxhausys.co.kr/popup/rn/download/downloadPopup.jsp?from=plwindow&amp;uu=/upload/window/REPORT/LXH-EA25-097 F-230W-226FFNG1R5.pdf","2등급"),IF(M313&lt;=1.8,HYPERLINK("http://www.lxhausys.co.kr/popup/rn/download/downloadPopup.jsp?from=plwindow&amp;uu=/upload/window/REPORT/LXH-EA25-097 F-230W-226FFNG1R5.pdf","3등급"),IF(M313&lt;=2.3,HYPERLINK("http://www.lxhausys.co.kr/popup/rn/download/downloadPopup.jsp?from=plwindow&amp;uu=/upload/window/REPORT/LXH-EA25-097 F-230W-226FFNG1R5.pdf","4등급"),IF(M313&lt;=2.8,HYPERLINK("http://www.lxhausys.co.kr/popup/rn/download/downloadPopup.jsp?from=plwindow&amp;uu=/upload/window/REPORT/LXH-EA25-097 F-230W-226FFNG1R5.pdf","5등급"),HYPERLINK("http://www.lxhausys.co.kr/popup/rn/download/downloadPopup.jsp?from=plwindow&amp;uu=/upload/window/REPORT/LXH-EA25-097 F-230W-226FFNG1R54.pdf","등급외"))))))</f>
        <v>3등급</v>
      </c>
      <c r="M313" s="49">
        <v>1.6339999999999999</v>
      </c>
      <c r="N313" s="49">
        <v>1.62</v>
      </c>
      <c r="O313" s="42"/>
      <c r="P313" s="42" t="s">
        <v>150</v>
      </c>
      <c r="Q313" s="46" t="s">
        <v>19</v>
      </c>
      <c r="R313" s="46" t="s">
        <v>19</v>
      </c>
      <c r="S313" s="46" t="s">
        <v>19</v>
      </c>
      <c r="T313" s="46" t="s">
        <v>19</v>
      </c>
      <c r="U313" s="46" t="s">
        <v>19</v>
      </c>
      <c r="V313" s="46" t="s">
        <v>19</v>
      </c>
      <c r="W313" s="46" t="s">
        <v>19</v>
      </c>
      <c r="X313" s="46" t="s">
        <v>75</v>
      </c>
    </row>
    <row r="314" spans="1:24">
      <c r="A314" s="42" t="s">
        <v>677</v>
      </c>
      <c r="B314" s="43" t="s">
        <v>1475</v>
      </c>
      <c r="C314" s="46" t="s">
        <v>1492</v>
      </c>
      <c r="D314" s="46" t="s">
        <v>20</v>
      </c>
      <c r="E314" s="43" t="s">
        <v>1469</v>
      </c>
      <c r="F314" s="44" t="s">
        <v>1470</v>
      </c>
      <c r="G314" s="43"/>
      <c r="H314" s="42"/>
      <c r="I314" s="42"/>
      <c r="J314" s="46" t="s">
        <v>1410</v>
      </c>
      <c r="K314" s="43" t="s">
        <v>1475</v>
      </c>
      <c r="L314" s="52" t="str">
        <f>IF(M314&lt;=0.9,HYPERLINK("http://www.lxhausys.co.kr/popup/rn/download/downloadPopup.jsp?from=plwindow&amp;uu=/upload/window/REPORT/LXH-EA25-098 F-285-444NGGG2A5.pdf","1등급"),IF(M314&lt;=1.2,HYPERLINK("http://www.lxhausys.co.kr/popup/rn/download/downloadPopup.jsp?from=plwindow&amp;uu=/upload/window/REPORT/LXH-EA25-098 F-285-444NGGG2A5.pdf","2등급"),IF(M314&lt;=1.8,HYPERLINK("http://www.lxhausys.co.kr/popup/rn/download/downloadPopup.jsp?from=plwindow&amp;uu=/upload/window/REPORT/LXH-EA25-098 F-285-444NGGG2A5.pdf","3등급"),IF(M314&lt;=2.3,HYPERLINK("http://www.lxhausys.co.kr/popup/rn/download/downloadPopup.jsp?from=plwindow&amp;uu=/upload/window/REPORT/LXH-EA25-098 F-285-444NGGG2A5.pdf","4등급"),IF(M314&lt;=2.8,HYPERLINK("http://www.lxhausys.co.kr/popup/rn/download/downloadPopup.jsp?from=plwindow&amp;uu=/upload/window/REPORT/LXH-EA25-098 F-285-444NGGG2A5.pdf","5등급"),HYPERLINK("http://www.lxhausys.co.kr/popup/rn/download/downloadPopup.jsp?from=plwindow&amp;uu=/upload/window/REPORT/LXH-EA25-098 F-285-444NGGG2A54.pdf","등급외"))))))</f>
        <v>2등급</v>
      </c>
      <c r="M314" s="49">
        <v>0.90400000000000003</v>
      </c>
      <c r="N314" s="49">
        <v>0.81</v>
      </c>
      <c r="O314" s="42"/>
      <c r="P314" s="42" t="s">
        <v>103</v>
      </c>
      <c r="Q314" s="46" t="s">
        <v>19</v>
      </c>
      <c r="R314" s="46" t="s">
        <v>19</v>
      </c>
      <c r="S314" s="46" t="s">
        <v>19</v>
      </c>
      <c r="T314" s="46" t="s">
        <v>19</v>
      </c>
      <c r="U314" s="46" t="s">
        <v>19</v>
      </c>
      <c r="V314" s="46" t="s">
        <v>19</v>
      </c>
      <c r="W314" s="46" t="s">
        <v>19</v>
      </c>
      <c r="X314" s="46" t="s">
        <v>75</v>
      </c>
    </row>
    <row r="315" spans="1:24">
      <c r="A315" s="42" t="s">
        <v>676</v>
      </c>
      <c r="B315" s="43" t="s">
        <v>1476</v>
      </c>
      <c r="C315" s="46" t="s">
        <v>1493</v>
      </c>
      <c r="D315" s="46" t="s">
        <v>20</v>
      </c>
      <c r="E315" s="43" t="s">
        <v>1468</v>
      </c>
      <c r="F315" s="44" t="s">
        <v>1448</v>
      </c>
      <c r="G315" s="43"/>
      <c r="H315" s="42"/>
      <c r="I315" s="42"/>
      <c r="J315" s="46" t="s">
        <v>1410</v>
      </c>
      <c r="K315" s="43" t="s">
        <v>1476</v>
      </c>
      <c r="L315" s="52" t="str">
        <f>IF(M315&lt;=0.9,HYPERLINK("http://www.lxhausys.co.kr/popup/rn/download/downloadPopup.jsp?from=plwindow&amp;uu=/upload/window/REPORT/LXH-EA25-099 F-265-466NGGG2A5.pdf","1등급"),IF(M315&lt;=1.2,HYPERLINK("http://www.lxhausys.co.kr/popup/rn/download/downloadPopup.jsp?from=plwindow&amp;uu=/upload/window/REPORT/LXH-EA25-099 F-265-466NGGG2A5.pdf","2등급"),IF(M315&lt;=1.8,HYPERLINK("http://www.lxhausys.co.kr/popup/rn/download/downloadPopup.jsp?from=plwindow&amp;uu=/upload/window/REPORT/LXH-EA25-099 F-265-466NGGG2A5.pdf","3등급"),IF(M315&lt;=2.3,HYPERLINK("http://www.lxhausys.co.kr/popup/rn/download/downloadPopup.jsp?from=plwindow&amp;uu=/upload/window/REPORT/LXH-EA25-099 F-265-466NGGG2A5.pdf","4등급"),IF(M315&lt;=2.8,HYPERLINK("http://www.lxhausys.co.kr/popup/rn/download/downloadPopup.jsp?from=plwindow&amp;uu=/upload/window/REPORT/LXH-EA25-099 F-265-466NGGG2A5.pdf","5등급"),HYPERLINK("http://www.lxhausys.co.kr/popup/rn/download/downloadPopup.jsp?from=plwindow&amp;uu=/upload/window/REPORT/LXH-EA25-099 F-265-466NGGG2A54.pdf","등급외"))))))</f>
        <v>1등급</v>
      </c>
      <c r="M315" s="49">
        <v>0.879</v>
      </c>
      <c r="N315" s="49">
        <v>0.8</v>
      </c>
      <c r="O315" s="42"/>
      <c r="P315" s="42" t="s">
        <v>22</v>
      </c>
      <c r="Q315" s="46" t="s">
        <v>19</v>
      </c>
      <c r="R315" s="46" t="s">
        <v>19</v>
      </c>
      <c r="S315" s="46" t="s">
        <v>19</v>
      </c>
      <c r="T315" s="46" t="s">
        <v>19</v>
      </c>
      <c r="U315" s="46" t="s">
        <v>19</v>
      </c>
      <c r="V315" s="46" t="s">
        <v>19</v>
      </c>
      <c r="W315" s="46" t="s">
        <v>19</v>
      </c>
      <c r="X315" s="46" t="s">
        <v>75</v>
      </c>
    </row>
    <row r="316" spans="1:24">
      <c r="A316" s="42" t="s">
        <v>677</v>
      </c>
      <c r="B316" s="43" t="s">
        <v>1477</v>
      </c>
      <c r="C316" s="46" t="s">
        <v>1494</v>
      </c>
      <c r="D316" s="46" t="s">
        <v>20</v>
      </c>
      <c r="E316" s="43" t="s">
        <v>1468</v>
      </c>
      <c r="F316" s="44" t="s">
        <v>1448</v>
      </c>
      <c r="G316" s="43"/>
      <c r="H316" s="42"/>
      <c r="I316" s="42"/>
      <c r="J316" s="46" t="s">
        <v>1410</v>
      </c>
      <c r="K316" s="43" t="s">
        <v>1477</v>
      </c>
      <c r="L316" s="52" t="str">
        <f>IF(M316&lt;=0.9,HYPERLINK("http://www.lxhausys.co.kr/popup/rn/download/downloadPopup.jsp?from=plwindow&amp;uu=/upload/window/REPORT/LXH-EA25-100 F-285-466NGGG2A5.pdf","1등급"),IF(M316&lt;=1.2,HYPERLINK("http://www.lxhausys.co.kr/popup/rn/download/downloadPopup.jsp?from=plwindow&amp;uu=/upload/window/REPORT/LXH-EA25-100 F-285-466NGGG2A5.pdf","2등급"),IF(M316&lt;=1.8,HYPERLINK("http://www.lxhausys.co.kr/popup/rn/download/downloadPopup.jsp?from=plwindow&amp;uu=/upload/window/REPORT/LXH-EA25-100 F-285-466NGGG2A5.pdf","3등급"),IF(M316&lt;=2.3,HYPERLINK("http://www.lxhausys.co.kr/popup/rn/download/downloadPopup.jsp?from=plwindow&amp;uu=/upload/window/REPORT/LXH-EA25-100 F-285-466NGGG2A5.pdf","4등급"),IF(M316&lt;=2.8,HYPERLINK("http://www.lxhausys.co.kr/popup/rn/download/downloadPopup.jsp?from=plwindow&amp;uu=/upload/window/REPORT/LXH-EA25-100 F-285-466NGGG2A5.pdf","5등급"),HYPERLINK("http://www.lxhausys.co.kr/popup/rn/download/downloadPopup.jsp?from=plwindow&amp;uu=/upload/window/REPORT/LXH-EA25-100 F-285-466NGGG2A54.pdf","등급외"))))))</f>
        <v>1등급</v>
      </c>
      <c r="M316" s="49">
        <v>0.877</v>
      </c>
      <c r="N316" s="49">
        <v>0.81</v>
      </c>
      <c r="O316" s="42"/>
      <c r="P316" s="42" t="s">
        <v>22</v>
      </c>
      <c r="Q316" s="46" t="s">
        <v>19</v>
      </c>
      <c r="R316" s="46" t="s">
        <v>19</v>
      </c>
      <c r="S316" s="46" t="s">
        <v>19</v>
      </c>
      <c r="T316" s="46" t="s">
        <v>19</v>
      </c>
      <c r="U316" s="46" t="s">
        <v>19</v>
      </c>
      <c r="V316" s="46" t="s">
        <v>19</v>
      </c>
      <c r="W316" s="46" t="s">
        <v>19</v>
      </c>
      <c r="X316" s="46" t="s">
        <v>75</v>
      </c>
    </row>
    <row r="317" spans="1:24">
      <c r="A317" s="42" t="s">
        <v>675</v>
      </c>
      <c r="B317" s="43" t="s">
        <v>1478</v>
      </c>
      <c r="C317" s="46" t="s">
        <v>1495</v>
      </c>
      <c r="D317" s="46" t="s">
        <v>20</v>
      </c>
      <c r="E317" s="43" t="s">
        <v>1505</v>
      </c>
      <c r="F317" s="44"/>
      <c r="G317" s="43"/>
      <c r="H317" s="42"/>
      <c r="I317" s="42"/>
      <c r="J317" s="46" t="s">
        <v>1410</v>
      </c>
      <c r="K317" s="43" t="s">
        <v>1478</v>
      </c>
      <c r="L317" s="52" t="str">
        <f>IF(M317&lt;=0.9,HYPERLINK("http://www.lxhausys.co.kr/popup/rn/download/downloadPopup.jsp?from=plwindow&amp;uu=/upload/window/REPORT/LXH-EA25-101 F-230WF-224FFNG1A5.pdf","1등급"),IF(M317&lt;=1.2,HYPERLINK("http://www.lxhausys.co.kr/popup/rn/download/downloadPopup.jsp?from=plwindow&amp;uu=/upload/window/REPORT/LXH-EA25-101 F-230WF-224FFNG1A5.pdf","2등급"),IF(M317&lt;=1.8,HYPERLINK("http://www.lxhausys.co.kr/popup/rn/download/downloadPopup.jsp?from=plwindow&amp;uu=/upload/window/REPORT/LXH-EA25-101 F-230WF-224FFNG1A5.pdf","3등급"),IF(M317&lt;=2.3,HYPERLINK("http://www.lxhausys.co.kr/popup/rn/download/downloadPopup.jsp?from=plwindow&amp;uu=/upload/window/REPORT/LXH-EA25-101 F-230WF-224FFNG1A5.pdf","4등급"),IF(M317&lt;=2.8,HYPERLINK("http://www.lxhausys.co.kr/popup/rn/download/downloadPopup.jsp?from=plwindow&amp;uu=/upload/window/REPORT/LXH-EA25-101 F-230WF-224FFNG1A5.pdf","5등급"),HYPERLINK("http://www.lxhausys.co.kr/popup/rn/download/downloadPopup.jsp?from=plwindow&amp;uu=/upload/window/REPORT/LXH-EA25-101 F-230WF-224FFNG1A54.pdf","등급외"))))))</f>
        <v>4등급</v>
      </c>
      <c r="M317" s="49">
        <v>1.831</v>
      </c>
      <c r="N317" s="49">
        <v>1.78</v>
      </c>
      <c r="O317" s="42"/>
      <c r="P317" s="42" t="s">
        <v>1510</v>
      </c>
      <c r="Q317" s="46" t="s">
        <v>19</v>
      </c>
      <c r="R317" s="46" t="s">
        <v>19</v>
      </c>
      <c r="S317" s="46" t="s">
        <v>19</v>
      </c>
      <c r="T317" s="46" t="s">
        <v>19</v>
      </c>
      <c r="U317" s="46" t="s">
        <v>19</v>
      </c>
      <c r="V317" s="46" t="s">
        <v>19</v>
      </c>
      <c r="W317" s="46" t="s">
        <v>19</v>
      </c>
      <c r="X317" s="46" t="s">
        <v>75</v>
      </c>
    </row>
    <row r="318" spans="1:24">
      <c r="A318" s="42" t="s">
        <v>675</v>
      </c>
      <c r="B318" s="43" t="s">
        <v>1479</v>
      </c>
      <c r="C318" s="46" t="s">
        <v>1496</v>
      </c>
      <c r="D318" s="46" t="s">
        <v>20</v>
      </c>
      <c r="E318" s="43" t="s">
        <v>1506</v>
      </c>
      <c r="F318" s="44"/>
      <c r="G318" s="43"/>
      <c r="H318" s="42"/>
      <c r="I318" s="42"/>
      <c r="J318" s="46" t="s">
        <v>1410</v>
      </c>
      <c r="K318" s="43" t="s">
        <v>1479</v>
      </c>
      <c r="L318" s="52" t="str">
        <f>IF(M318&lt;=0.9,HYPERLINK("http://www.lxhausys.co.kr/popup/rn/download/downloadPopup.jsp?from=plwindow&amp;uu=/upload/window/REPORT/LXH-EA25-102 F-230WF-226FFNG1A5.pdf","1등급"),IF(M318&lt;=1.2,HYPERLINK("http://www.lxhausys.co.kr/popup/rn/download/downloadPopup.jsp?from=plwindow&amp;uu=/upload/window/REPORT/LXH-EA25-102 F-230WF-226FFNG1A5.pdf","2등급"),IF(M318&lt;=1.8,HYPERLINK("http://www.lxhausys.co.kr/popup/rn/download/downloadPopup.jsp?from=plwindow&amp;uu=/upload/window/REPORT/LXH-EA25-102 F-230WF-226FFNG1A5.pdf","3등급"),IF(M318&lt;=2.3,HYPERLINK("http://www.lxhausys.co.kr/popup/rn/download/downloadPopup.jsp?from=plwindow&amp;uu=/upload/window/REPORT/LXH-EA25-102 F-230WF-226FFNG1A5.pdf","4등급"),IF(M318&lt;=2.8,HYPERLINK("http://www.lxhausys.co.kr/popup/rn/download/downloadPopup.jsp?from=plwindow&amp;uu=/upload/window/REPORT/LXH-EA25-102 F-230WF-226FFNG1A5.pdf","5등급"),HYPERLINK("http://www.lxhausys.co.kr/popup/rn/download/downloadPopup.jsp?from=plwindow&amp;uu=/upload/window/REPORT/LXH-EA25-102 F-230WF-226FFNG1A54.pdf","등급외"))))))</f>
        <v>3등급</v>
      </c>
      <c r="M318" s="49">
        <v>1.7509999999999999</v>
      </c>
      <c r="N318" s="49">
        <v>1.79</v>
      </c>
      <c r="O318" s="42"/>
      <c r="P318" s="42" t="s">
        <v>150</v>
      </c>
      <c r="Q318" s="46" t="s">
        <v>19</v>
      </c>
      <c r="R318" s="46" t="s">
        <v>19</v>
      </c>
      <c r="S318" s="46" t="s">
        <v>19</v>
      </c>
      <c r="T318" s="46" t="s">
        <v>19</v>
      </c>
      <c r="U318" s="46" t="s">
        <v>19</v>
      </c>
      <c r="V318" s="46" t="s">
        <v>19</v>
      </c>
      <c r="W318" s="46" t="s">
        <v>19</v>
      </c>
      <c r="X318" s="46" t="s">
        <v>75</v>
      </c>
    </row>
    <row r="319" spans="1:24">
      <c r="A319" s="42" t="s">
        <v>675</v>
      </c>
      <c r="B319" s="43" t="s">
        <v>1480</v>
      </c>
      <c r="C319" s="46" t="s">
        <v>1497</v>
      </c>
      <c r="D319" s="46" t="s">
        <v>20</v>
      </c>
      <c r="E319" s="43" t="s">
        <v>1507</v>
      </c>
      <c r="F319" s="44"/>
      <c r="G319" s="43"/>
      <c r="H319" s="42"/>
      <c r="I319" s="42"/>
      <c r="J319" s="46" t="s">
        <v>1410</v>
      </c>
      <c r="K319" s="43" t="s">
        <v>1480</v>
      </c>
      <c r="L319" s="52" t="str">
        <f t="shared" ref="L319" si="0">IF(M319&lt;=0.9,HYPERLINK("http://www.lxhausys.co.kr/popup/rn/download/downloadPopup.jsp?from=plwindow&amp;uu=/upload/window/REPORT/LXH-EA25-077 F-140-226FFNG1R5.pdf","1등급"),IF(M319&lt;=1.2,HYPERLINK("http://www.lxhausys.co.kr/popup/rn/download/downloadPopup.jsp?from=plwindow&amp;uu=/upload/window/REPORT/LXH-EA25-077 F-140-226FFNG1R5.pdf","2등급"),IF(M319&lt;=1.8,HYPERLINK("http://www.lxhausys.co.kr/popup/rn/download/downloadPopup.jsp?from=plwindow&amp;uu=/upload/window/REPORT/LXH-EA25-077 F-140-226FFNG1R5.pdf","3등급"),IF(M319&lt;=2.3,HYPERLINK("http://www.lxhausys.co.kr/popup/rn/download/downloadPopup.jsp?from=plwindow&amp;uu=/upload/window/REPORT/LXH-EA25-077 F-140-226FFNG1R5.pdf","4등급"),IF(M319&lt;=2.8,HYPERLINK("http://www.lxhausys.co.kr/popup/rn/download/downloadPopup.jsp?from=plwindow&amp;uu=/upload/window/REPORT/LXH-EA25-077 F-140-226FFNG1R5.pdf","5등급"),HYPERLINK("http://www.lxhausys.co.kr/popup/rn/download/downloadPopup.jsp?from=plwindow&amp;uu=/upload/window/REPORT/LXH-EA25-077 F-140-226FFNG1R54.pdf","등급외"))))))</f>
        <v>3등급</v>
      </c>
      <c r="M319" s="49">
        <v>1.508</v>
      </c>
      <c r="N319" s="49">
        <v>1.69</v>
      </c>
      <c r="O319" s="42"/>
      <c r="P319" s="42" t="s">
        <v>150</v>
      </c>
      <c r="Q319" s="46" t="s">
        <v>19</v>
      </c>
      <c r="R319" s="46" t="s">
        <v>19</v>
      </c>
      <c r="S319" s="46" t="s">
        <v>19</v>
      </c>
      <c r="T319" s="46" t="s">
        <v>19</v>
      </c>
      <c r="U319" s="46" t="s">
        <v>19</v>
      </c>
      <c r="V319" s="46" t="s">
        <v>19</v>
      </c>
      <c r="W319" s="46" t="s">
        <v>19</v>
      </c>
      <c r="X319" s="46" t="s">
        <v>75</v>
      </c>
    </row>
    <row r="320" spans="1:24">
      <c r="A320" s="42" t="s">
        <v>708</v>
      </c>
      <c r="B320" s="43" t="s">
        <v>1481</v>
      </c>
      <c r="C320" s="46" t="s">
        <v>1498</v>
      </c>
      <c r="D320" s="46" t="s">
        <v>20</v>
      </c>
      <c r="E320" s="43" t="s">
        <v>1466</v>
      </c>
      <c r="F320" s="44"/>
      <c r="G320" s="43"/>
      <c r="H320" s="42"/>
      <c r="I320" s="42"/>
      <c r="J320" s="46" t="s">
        <v>1410</v>
      </c>
      <c r="K320" s="43" t="s">
        <v>1481</v>
      </c>
      <c r="L320" s="52" t="str">
        <f>IF(M320&lt;=0.9,HYPERLINK("http://www.lxhausys.co.kr/popup/rn/download/downloadPopup.jsp?from=plwindow&amp;uu=/upload/window/REPORT/LXH-EA25-104 F-130I-224FFNG1R5.pdf","1등급"),IF(M320&lt;=1.2,HYPERLINK("http://www.lxhausys.co.kr/popup/rn/download/downloadPopup.jsp?from=plwindow&amp;uu=/upload/window/REPORT/LXH-EA25-104 F-130I-224FFNG1R5.pdf","2등급"),IF(M320&lt;=1.8,HYPERLINK("http://www.lxhausys.co.kr/popup/rn/download/downloadPopup.jsp?from=plwindow&amp;uu=/upload/window/REPORT/LXH-EA25-104 F-130I-224FFNG1R5.pdf","3등급"),IF(M320&lt;=2.3,HYPERLINK("http://www.lxhausys.co.kr/popup/rn/download/downloadPopup.jsp?from=plwindow&amp;uu=/upload/window/REPORT/LXH-EA25-104 F-130I-224FFNG1R5.pdf","4등급"),IF(M320&lt;=2.8,HYPERLINK("http://www.lxhausys.co.kr/popup/rn/download/downloadPopup.jsp?from=plwindow&amp;uu=/upload/window/REPORT/LXH-EA25-104 F-130I-224FFNG1R5.pdf","5등급"),HYPERLINK("http://www.lxhausys.co.kr/popup/rn/download/downloadPopup.jsp?from=plwindow&amp;uu=/upload/window/REPORT/LXH-EA25-104 F-130I-224FFNG1R54.pdf","등급외"))))))</f>
        <v>3등급</v>
      </c>
      <c r="M320" s="49">
        <v>1.6619999999999999</v>
      </c>
      <c r="N320" s="49">
        <v>1.42</v>
      </c>
      <c r="O320" s="42"/>
      <c r="P320" s="42" t="s">
        <v>150</v>
      </c>
      <c r="Q320" s="46" t="s">
        <v>19</v>
      </c>
      <c r="R320" s="46" t="s">
        <v>19</v>
      </c>
      <c r="S320" s="46" t="s">
        <v>19</v>
      </c>
      <c r="T320" s="46" t="s">
        <v>19</v>
      </c>
      <c r="U320" s="46" t="s">
        <v>19</v>
      </c>
      <c r="V320" s="46" t="s">
        <v>19</v>
      </c>
      <c r="W320" s="46" t="s">
        <v>19</v>
      </c>
      <c r="X320" s="46" t="s">
        <v>75</v>
      </c>
    </row>
    <row r="321" spans="1:24">
      <c r="A321" s="42" t="s">
        <v>675</v>
      </c>
      <c r="B321" s="43" t="s">
        <v>1482</v>
      </c>
      <c r="C321" s="46" t="s">
        <v>1499</v>
      </c>
      <c r="D321" s="46" t="s">
        <v>20</v>
      </c>
      <c r="E321" s="43" t="s">
        <v>1466</v>
      </c>
      <c r="F321" s="44"/>
      <c r="G321" s="43"/>
      <c r="H321" s="42"/>
      <c r="I321" s="42"/>
      <c r="J321" s="46" t="s">
        <v>1410</v>
      </c>
      <c r="K321" s="43" t="s">
        <v>1482</v>
      </c>
      <c r="L321" s="52" t="str">
        <f>IF(M321&lt;=0.9,HYPERLINK("http://www.lxhausys.co.kr/popup/rn/download/downloadPopup.jsp?from=plwindow&amp;uu=/upload/window/REPORT/LXH-EA25-105 F-230WF-224FFNG1R5.pdf","1등급"),IF(M321&lt;=1.2,HYPERLINK("http://www.lxhausys.co.kr/popup/rn/download/downloadPopup.jsp?from=plwindow&amp;uu=/upload/window/REPORT/LXH-EA25-105 F-230WF-224FFNG1R5.pdf","2등급"),IF(M321&lt;=1.8,HYPERLINK("http://www.lxhausys.co.kr/popup/rn/download/downloadPopup.jsp?from=plwindow&amp;uu=/upload/window/REPORT/LXH-EA25-105 F-230WF-224FFNG1R5.pdf","3등급"),IF(M321&lt;=2.3,HYPERLINK("http://www.lxhausys.co.kr/popup/rn/download/downloadPopup.jsp?from=plwindow&amp;uu=/upload/window/REPORT/LXH-EA25-105 F-230WF-224FFNG1R5.pdf","4등급"),IF(M321&lt;=2.8,HYPERLINK("http://www.lxhausys.co.kr/popup/rn/download/downloadPopup.jsp?from=plwindow&amp;uu=/upload/window/REPORT/LXH-EA25-105 F-230WF-224FFNG1R5.pdf","5등급"),HYPERLINK("http://www.lxhausys.co.kr/popup/rn/download/downloadPopup.jsp?from=plwindow&amp;uu=/upload/window/REPORT/LXH-EA25-105 F-230WF-224FFNG1R54.pdf","등급외"))))))</f>
        <v>3등급</v>
      </c>
      <c r="M321" s="49">
        <v>1.5529999999999999</v>
      </c>
      <c r="N321" s="49">
        <v>1.73</v>
      </c>
      <c r="O321" s="42"/>
      <c r="P321" s="42" t="s">
        <v>150</v>
      </c>
      <c r="Q321" s="46" t="s">
        <v>19</v>
      </c>
      <c r="R321" s="46" t="s">
        <v>19</v>
      </c>
      <c r="S321" s="46" t="s">
        <v>19</v>
      </c>
      <c r="T321" s="46" t="s">
        <v>19</v>
      </c>
      <c r="U321" s="46" t="s">
        <v>19</v>
      </c>
      <c r="V321" s="46" t="s">
        <v>19</v>
      </c>
      <c r="W321" s="46" t="s">
        <v>19</v>
      </c>
      <c r="X321" s="46" t="s">
        <v>75</v>
      </c>
    </row>
    <row r="322" spans="1:24">
      <c r="A322" s="42" t="s">
        <v>673</v>
      </c>
      <c r="B322" s="43" t="s">
        <v>1483</v>
      </c>
      <c r="C322" s="46" t="s">
        <v>1500</v>
      </c>
      <c r="D322" s="46" t="s">
        <v>20</v>
      </c>
      <c r="E322" s="43" t="s">
        <v>1467</v>
      </c>
      <c r="F322" s="44"/>
      <c r="G322" s="43"/>
      <c r="H322" s="42"/>
      <c r="I322" s="42"/>
      <c r="J322" s="46" t="s">
        <v>1410</v>
      </c>
      <c r="K322" s="43" t="s">
        <v>1483</v>
      </c>
      <c r="L322" s="52" t="str">
        <f>IF(M322&lt;=0.9,HYPERLINK("http://www.lxhausys.co.kr/popup/rn/download/downloadPopup.jsp?from=plwindow&amp;uu=/upload/window/REPORT/LXH-EA25-106 F-145-226FFNG1R5.pdf","1등급"),IF(M322&lt;=1.2,HYPERLINK("http://www.lxhausys.co.kr/popup/rn/download/downloadPopup.jsp?from=plwindow&amp;uu=/upload/window/REPORT/LXH-EA25-106 F-145-226FFNG1R5.pdf","2등급"),IF(M322&lt;=1.8,HYPERLINK("http://www.lxhausys.co.kr/popup/rn/download/downloadPopup.jsp?from=plwindow&amp;uu=/upload/window/REPORT/LXH-EA25-106 F-145-226FFNG1R5.pdf","3등급"),IF(M322&lt;=2.3,HYPERLINK("http://www.lxhausys.co.kr/popup/rn/download/downloadPopup.jsp?from=plwindow&amp;uu=/upload/window/REPORT/LXH-EA25-106 F-145-226FFNG1R5.pdf","4등급"),IF(M322&lt;=2.8,HYPERLINK("http://www.lxhausys.co.kr/popup/rn/download/downloadPopup.jsp?from=plwindow&amp;uu=/upload/window/REPORT/LXH-EA25-106 F-145-226FFNG1R5.pdf","5등급"),HYPERLINK("http://www.lxhausys.co.kr/popup/rn/download/downloadPopup.jsp?from=plwindow&amp;uu=/upload/window/REPORT/LXH-EA25-106 F-145-226FFNG1R54.pdf","등급외"))))))</f>
        <v>3등급</v>
      </c>
      <c r="M322" s="49">
        <v>1.581</v>
      </c>
      <c r="N322" s="49">
        <v>1.73</v>
      </c>
      <c r="O322" s="42"/>
      <c r="P322" s="42" t="s">
        <v>150</v>
      </c>
      <c r="Q322" s="46" t="s">
        <v>19</v>
      </c>
      <c r="R322" s="46" t="s">
        <v>19</v>
      </c>
      <c r="S322" s="46" t="s">
        <v>19</v>
      </c>
      <c r="T322" s="46" t="s">
        <v>19</v>
      </c>
      <c r="U322" s="46" t="s">
        <v>19</v>
      </c>
      <c r="V322" s="46" t="s">
        <v>19</v>
      </c>
      <c r="W322" s="46" t="s">
        <v>19</v>
      </c>
      <c r="X322" s="46" t="s">
        <v>75</v>
      </c>
    </row>
    <row r="323" spans="1:24">
      <c r="A323" s="42" t="s">
        <v>675</v>
      </c>
      <c r="B323" s="43" t="s">
        <v>1484</v>
      </c>
      <c r="C323" s="46" t="s">
        <v>1501</v>
      </c>
      <c r="D323" s="46" t="s">
        <v>20</v>
      </c>
      <c r="E323" s="43" t="s">
        <v>1467</v>
      </c>
      <c r="F323" s="44"/>
      <c r="G323" s="43"/>
      <c r="H323" s="42"/>
      <c r="I323" s="42"/>
      <c r="J323" s="46" t="s">
        <v>1410</v>
      </c>
      <c r="K323" s="43" t="s">
        <v>1484</v>
      </c>
      <c r="L323" s="52" t="str">
        <f>IF(M323&lt;=0.9,HYPERLINK("http://www.lxhausys.co.kr/popup/rn/download/downloadPopup.jsp?from=plwindow&amp;uu=/upload/window/REPORT/LXH-EA25-107 F-230WF-226FFNG1R5.pdf","1등급"),IF(M323&lt;=1.2,HYPERLINK("http://www.lxhausys.co.kr/popup/rn/download/downloadPopup.jsp?from=plwindow&amp;uu=/upload/window/REPORT/LXH-EA25-107 F-230WF-226FFNG1R5.pdf","2등급"),IF(M323&lt;=1.8,HYPERLINK("http://www.lxhausys.co.kr/popup/rn/download/downloadPopup.jsp?from=plwindow&amp;uu=/upload/window/REPORT/LXH-EA25-107 F-230WF-226FFNG1R5.pdf","3등급"),IF(M323&lt;=2.3,HYPERLINK("http://www.lxhausys.co.kr/popup/rn/download/downloadPopup.jsp?from=plwindow&amp;uu=/upload/window/REPORT/LXH-EA25-107 F-230WF-226FFNG1R5.pdf","4등급"),IF(M323&lt;=2.8,HYPERLINK("http://www.lxhausys.co.kr/popup/rn/download/downloadPopup.jsp?from=plwindow&amp;uu=/upload/window/REPORT/LXH-EA25-107 F-230WF-226FFNG1R5.pdf","5등급"),HYPERLINK("http://www.lxhausys.co.kr/popup/rn/download/downloadPopup.jsp?from=plwindow&amp;uu=/upload/window/REPORT/LXH-EA25-107 F-230WF-226FFNG1R54.pdf","등급외"))))))</f>
        <v>3등급</v>
      </c>
      <c r="M323" s="49">
        <v>1.524</v>
      </c>
      <c r="N323" s="49">
        <v>1.76</v>
      </c>
      <c r="O323" s="42"/>
      <c r="P323" s="42" t="s">
        <v>150</v>
      </c>
      <c r="Q323" s="46" t="s">
        <v>19</v>
      </c>
      <c r="R323" s="46" t="s">
        <v>19</v>
      </c>
      <c r="S323" s="46" t="s">
        <v>19</v>
      </c>
      <c r="T323" s="46" t="s">
        <v>19</v>
      </c>
      <c r="U323" s="46" t="s">
        <v>19</v>
      </c>
      <c r="V323" s="46" t="s">
        <v>19</v>
      </c>
      <c r="W323" s="46" t="s">
        <v>19</v>
      </c>
      <c r="X323" s="46" t="s">
        <v>75</v>
      </c>
    </row>
    <row r="324" spans="1:24">
      <c r="A324" s="42" t="s">
        <v>676</v>
      </c>
      <c r="B324" s="43" t="s">
        <v>1485</v>
      </c>
      <c r="C324" s="46" t="s">
        <v>1502</v>
      </c>
      <c r="D324" s="46" t="s">
        <v>20</v>
      </c>
      <c r="E324" s="43" t="s">
        <v>1469</v>
      </c>
      <c r="F324" s="44" t="s">
        <v>1470</v>
      </c>
      <c r="G324" s="43"/>
      <c r="H324" s="42"/>
      <c r="I324" s="42"/>
      <c r="J324" s="46" t="s">
        <v>1410</v>
      </c>
      <c r="K324" s="43" t="s">
        <v>1485</v>
      </c>
      <c r="L324" s="52" t="str">
        <f>IF(M324&lt;=0.9,HYPERLINK("http://www.lxhausys.co.kr/popup/rn/download/downloadPopup.jsp?from=plwindow&amp;uu=/upload/window/REPORT/LXH-EA25-108 F-265-444NGGG2A5.pdf","1등급"),IF(M324&lt;=1.2,HYPERLINK("http://www.lxhausys.co.kr/popup/rn/download/downloadPopup.jsp?from=plwindow&amp;uu=/upload/window/REPORT/LXH-EA25-108 F-265-444NGGG2A5.pdf","2등급"),IF(M324&lt;=1.8,HYPERLINK("http://www.lxhausys.co.kr/popup/rn/download/downloadPopup.jsp?from=plwindow&amp;uu=/upload/window/REPORT/LXH-EA25-108 F-265-444NGGG2A5.pdf","3등급"),IF(M324&lt;=2.3,HYPERLINK("http://www.lxhausys.co.kr/popup/rn/download/downloadPopup.jsp?from=plwindow&amp;uu=/upload/window/REPORT/LXH-EA25-108 F-265-444NGGG2A5.pdf","4등급"),IF(M324&lt;=2.8,HYPERLINK("http://www.lxhausys.co.kr/popup/rn/download/downloadPopup.jsp?from=plwindow&amp;uu=/upload/window/REPORT/LXH-EA25-108 F-265-444NGGG2A5.pdf","5등급"),HYPERLINK("http://www.lxhausys.co.kr/popup/rn/download/downloadPopup.jsp?from=plwindow&amp;uu=/upload/window/REPORT/LXH-EA25-108 F-265-444NGGG2A54.pdf","등급외"))))))</f>
        <v>2등급</v>
      </c>
      <c r="M324" s="49">
        <v>0.91500000000000004</v>
      </c>
      <c r="N324" s="49">
        <v>0.82</v>
      </c>
      <c r="O324" s="42"/>
      <c r="P324" s="42" t="s">
        <v>103</v>
      </c>
      <c r="Q324" s="46" t="s">
        <v>19</v>
      </c>
      <c r="R324" s="46" t="s">
        <v>19</v>
      </c>
      <c r="S324" s="46" t="s">
        <v>19</v>
      </c>
      <c r="T324" s="46" t="s">
        <v>19</v>
      </c>
      <c r="U324" s="46" t="s">
        <v>19</v>
      </c>
      <c r="V324" s="46" t="s">
        <v>19</v>
      </c>
      <c r="W324" s="46" t="s">
        <v>19</v>
      </c>
      <c r="X324" s="46" t="s">
        <v>75</v>
      </c>
    </row>
    <row r="325" spans="1:24">
      <c r="A325" s="42" t="s">
        <v>675</v>
      </c>
      <c r="B325" s="43" t="s">
        <v>1486</v>
      </c>
      <c r="C325" s="46" t="s">
        <v>1503</v>
      </c>
      <c r="D325" s="46" t="s">
        <v>20</v>
      </c>
      <c r="E325" s="43" t="s">
        <v>1508</v>
      </c>
      <c r="F325" s="44"/>
      <c r="G325" s="43"/>
      <c r="H325" s="42"/>
      <c r="I325" s="42"/>
      <c r="J325" s="46" t="s">
        <v>1410</v>
      </c>
      <c r="K325" s="43" t="s">
        <v>1486</v>
      </c>
      <c r="L325" s="52" t="str">
        <f>IF(M325&lt;=0.9,HYPERLINK("http://www.lxhausys.co.kr/popup/rn/download/downloadPopup.jsp?from=plwindow&amp;uu=/upload/window/REPORT/LXH-EA25-109 F-230WF-228FFNG1A5.pdf","1등급"),IF(M325&lt;=1.2,HYPERLINK("http://www.lxhausys.co.kr/popup/rn/download/downloadPopup.jsp?from=plwindow&amp;uu=/upload/window/REPORT/LXH-EA25-109 F-230WF-228FFNG1A5.pdf","2등급"),IF(M325&lt;=1.8,HYPERLINK("http://www.lxhausys.co.kr/popup/rn/download/downloadPopup.jsp?from=plwindow&amp;uu=/upload/window/REPORT/LXH-EA25-109 F-230WF-228FFNG1A5.pdf","3등급"),IF(M325&lt;=2.3,HYPERLINK("http://www.lxhausys.co.kr/popup/rn/download/downloadPopup.jsp?from=plwindow&amp;uu=/upload/window/REPORT/LXH-EA25-109 F-230WF-228FFNG1A5.pdf","4등급"),IF(M325&lt;=2.8,HYPERLINK("http://www.lxhausys.co.kr/popup/rn/download/downloadPopup.jsp?from=plwindow&amp;uu=/upload/window/REPORT/LXH-EA25-109 F-230WF-228FFNG1A5.pdf","5등급"),HYPERLINK("http://www.lxhausys.co.kr/popup/rn/download/downloadPopup.jsp?from=plwindow&amp;uu=/upload/window/REPORT/LXH-EA25-109 F-230WF-228FFNG1A54.pdf","등급외"))))))</f>
        <v>3등급</v>
      </c>
      <c r="M325" s="49">
        <v>1.6859999999999999</v>
      </c>
      <c r="N325" s="49">
        <v>1.67</v>
      </c>
      <c r="O325" s="42"/>
      <c r="P325" s="42" t="s">
        <v>150</v>
      </c>
      <c r="Q325" s="46" t="s">
        <v>19</v>
      </c>
      <c r="R325" s="46" t="s">
        <v>19</v>
      </c>
      <c r="S325" s="46" t="s">
        <v>19</v>
      </c>
      <c r="T325" s="46" t="s">
        <v>19</v>
      </c>
      <c r="U325" s="46" t="s">
        <v>19</v>
      </c>
      <c r="V325" s="46" t="s">
        <v>19</v>
      </c>
      <c r="W325" s="46" t="s">
        <v>19</v>
      </c>
      <c r="X325" s="46" t="s">
        <v>75</v>
      </c>
    </row>
    <row r="326" spans="1:24">
      <c r="A326" s="42" t="s">
        <v>708</v>
      </c>
      <c r="B326" s="43" t="s">
        <v>1487</v>
      </c>
      <c r="C326" s="46" t="s">
        <v>1504</v>
      </c>
      <c r="D326" s="46" t="s">
        <v>20</v>
      </c>
      <c r="E326" s="43" t="s">
        <v>1467</v>
      </c>
      <c r="F326" s="44"/>
      <c r="G326" s="43"/>
      <c r="H326" s="42"/>
      <c r="I326" s="42"/>
      <c r="J326" s="46" t="s">
        <v>1410</v>
      </c>
      <c r="K326" s="43" t="s">
        <v>1487</v>
      </c>
      <c r="L326" s="52" t="str">
        <f>IF(M326&lt;=0.9,HYPERLINK("http://www.lxhausys.co.kr/popup/rn/download/downloadPopup.jsp?from=plwindow&amp;uu=/upload/window/REPORT/LXH-EA25-110 F-130I-226FFNG1R5.pdf","1등급"),IF(M326&lt;=1.2,HYPERLINK("http://www.lxhausys.co.kr/popup/rn/download/downloadPopup.jsp?from=plwindow&amp;uu=/upload/window/REPORT/LXH-EA25-110 F-130I-226FFNG1R5.pdf","2등급"),IF(M326&lt;=1.8,HYPERLINK("http://www.lxhausys.co.kr/popup/rn/download/downloadPopup.jsp?from=plwindow&amp;uu=/upload/window/REPORT/LXH-EA25-110 F-130I-226FFNG1R5.pdf","3등급"),IF(M326&lt;=2.3,HYPERLINK("http://www.lxhausys.co.kr/popup/rn/download/downloadPopup.jsp?from=plwindow&amp;uu=/upload/window/REPORT/LXH-EA25-110 F-130I-226FFNG1R5.pdf","4등급"),IF(M326&lt;=2.8,HYPERLINK("http://www.lxhausys.co.kr/popup/rn/download/downloadPopup.jsp?from=plwindow&amp;uu=/upload/window/REPORT/LXH-EA25-110 F-130I-226FFNG1R5.pdf","5등급"),HYPERLINK("http://www.lxhausys.co.kr/popup/rn/download/downloadPopup.jsp?from=plwindow&amp;uu=/upload/window/REPORT/LXH-EA25-110 F-130I-226FFNG1R54.pdf","등급외"))))))</f>
        <v>3등급</v>
      </c>
      <c r="M326" s="49">
        <v>1.653</v>
      </c>
      <c r="N326" s="49">
        <v>1.36</v>
      </c>
      <c r="O326" s="42"/>
      <c r="P326" s="42" t="s">
        <v>150</v>
      </c>
      <c r="Q326" s="46" t="s">
        <v>19</v>
      </c>
      <c r="R326" s="46" t="s">
        <v>19</v>
      </c>
      <c r="S326" s="46" t="s">
        <v>19</v>
      </c>
      <c r="T326" s="46" t="s">
        <v>19</v>
      </c>
      <c r="U326" s="46" t="s">
        <v>19</v>
      </c>
      <c r="V326" s="46" t="s">
        <v>19</v>
      </c>
      <c r="W326" s="46" t="s">
        <v>19</v>
      </c>
      <c r="X326" s="46" t="s">
        <v>75</v>
      </c>
    </row>
    <row r="327" spans="1:24" s="51" customFormat="1">
      <c r="A327" s="46" t="s">
        <v>706</v>
      </c>
      <c r="B327" s="47" t="s">
        <v>1519</v>
      </c>
      <c r="C327" s="46" t="s">
        <v>1518</v>
      </c>
      <c r="D327" s="46" t="s">
        <v>20</v>
      </c>
      <c r="E327" s="48" t="s">
        <v>1509</v>
      </c>
      <c r="F327" s="48" t="s">
        <v>1470</v>
      </c>
      <c r="G327" s="46"/>
      <c r="H327" s="46"/>
      <c r="I327" s="47"/>
      <c r="J327" s="46" t="s">
        <v>1410</v>
      </c>
      <c r="K327" s="47" t="s">
        <v>1519</v>
      </c>
      <c r="L327" s="52" t="str">
        <f>IF(M327&lt;=0.9,HYPERLINK("http://www.lxhausys.co.kr/popup/rn/download/downloadPopup.jsp?from=plwindow&amp;uu=/upload/window/REPORT/LXH-EA25-125 F-250I-444NGGG1R5.pdf","1등급"),IF(M327&lt;=1.2,HYPERLINK("http://www.lxhausys.co.kr/popup/rn/download/downloadPopup.jsp?from=plwindow&amp;uu=/upload/window/REPORT/LXH-EA25-125 F-250I-444NGGG1R5.pdf","2등급"),IF(M327&lt;=1.8,HYPERLINK("http://www.lxhausys.co.kr/popup/rn/download/downloadPopup.jsp?from=plwindow&amp;uu=/upload/window/REPORT/LXH-EA25-125 F-250I-444NGGG1R5.pdf","3등급"),IF(M327&lt;=2.3,HYPERLINK("http://www.lxhausys.co.kr/popup/rn/download/downloadPopup.jsp?from=plwindow&amp;uu=/upload/window/REPORT/LXH-EA25-125 F-250I-444NGGG1R5.pdf","4등급"),IF(M327&lt;=2.8,HYPERLINK("http://www.lxhausys.co.kr/popup/rn/download/downloadPopup.jsp?from=plwindow&amp;uu=/upload/window/REPORT/LXH-EA25-125 F-250I-444NGGG1R5.pdf","5등급"),HYPERLINK("http://www.lxhausys.co.kr/popup/rn/download/downloadPopup.jsp?from=plwindow&amp;uu=/upload/window/REPORT/LXH-EA25-125 F-250I-444NGGG1R54.pdf","등급외"))))))</f>
        <v>1등급</v>
      </c>
      <c r="M327" s="49">
        <v>0.82599999999999996</v>
      </c>
      <c r="N327" s="49">
        <v>0.72</v>
      </c>
      <c r="O327" s="46"/>
      <c r="P327" s="46" t="s">
        <v>22</v>
      </c>
      <c r="Q327" s="46" t="s">
        <v>19</v>
      </c>
      <c r="R327" s="46" t="s">
        <v>19</v>
      </c>
      <c r="S327" s="46" t="s">
        <v>19</v>
      </c>
      <c r="T327" s="46" t="s">
        <v>19</v>
      </c>
      <c r="U327" s="46" t="s">
        <v>19</v>
      </c>
      <c r="V327" s="46" t="s">
        <v>19</v>
      </c>
      <c r="W327" s="46" t="s">
        <v>19</v>
      </c>
      <c r="X327" s="46" t="s">
        <v>75</v>
      </c>
    </row>
    <row r="328" spans="1:24" s="51" customFormat="1">
      <c r="A328" s="46" t="s">
        <v>672</v>
      </c>
      <c r="B328" s="47" t="s">
        <v>1521</v>
      </c>
      <c r="C328" s="46" t="s">
        <v>1520</v>
      </c>
      <c r="D328" s="46" t="s">
        <v>20</v>
      </c>
      <c r="E328" s="48" t="s">
        <v>1506</v>
      </c>
      <c r="F328" s="48"/>
      <c r="G328" s="46"/>
      <c r="H328" s="46"/>
      <c r="I328" s="47"/>
      <c r="J328" s="46" t="s">
        <v>1410</v>
      </c>
      <c r="K328" s="47" t="s">
        <v>1521</v>
      </c>
      <c r="L328" s="52" t="str">
        <f>IF(M328&lt;=0.9,HYPERLINK("http://www.lxhausys.co.kr/popup/rn/download/downloadPopup.jsp?from=plwindow&amp;uu=/upload/window/REPORT/LXH-EA25-124 F-140-226FFNG1A5.pdf","1등급"),IF(M328&lt;=1.2,HYPERLINK("http://www.lxhausys.co.kr/popup/rn/download/downloadPopup.jsp?from=plwindow&amp;uu=/upload/window/REPORT/LXH-EA25-124 F-140-226FFNG1A5.pdf","2등급"),IF(M328&lt;=1.8,HYPERLINK("http://www.lxhausys.co.kr/popup/rn/download/downloadPopup.jsp?from=plwindow&amp;uu=/upload/window/REPORT/LXH-EA25-124 F-140-226FFNG1A5.pdf","3등급"),IF(M328&lt;=2.3,HYPERLINK("http://www.lxhausys.co.kr/popup/rn/download/downloadPopup.jsp?from=plwindow&amp;uu=/upload/window/REPORT/LXH-EA25-124 F-140-226FFNG1A5.pdf","4등급"),IF(M328&lt;=2.8,HYPERLINK("http://www.lxhausys.co.kr/popup/rn/download/downloadPopup.jsp?from=plwindow&amp;uu=/upload/window/REPORT/LXH-EA25-124 F-140-226FFNG1A5.pdf","5등급"),HYPERLINK("http://www.lxhausys.co.kr/popup/rn/download/downloadPopup.jsp?from=plwindow&amp;uu=/upload/window/REPORT/LXH-EA25-124 F-140-226FFNG1A54.pdf","등급외"))))))</f>
        <v>4등급</v>
      </c>
      <c r="M328" s="49">
        <v>1.8440000000000001</v>
      </c>
      <c r="N328" s="49">
        <v>1.41</v>
      </c>
      <c r="O328" s="46"/>
      <c r="P328" s="46" t="s">
        <v>1510</v>
      </c>
      <c r="Q328" s="46" t="s">
        <v>19</v>
      </c>
      <c r="R328" s="46" t="s">
        <v>19</v>
      </c>
      <c r="S328" s="46" t="s">
        <v>19</v>
      </c>
      <c r="T328" s="46" t="s">
        <v>19</v>
      </c>
      <c r="U328" s="46" t="s">
        <v>19</v>
      </c>
      <c r="V328" s="46" t="s">
        <v>19</v>
      </c>
      <c r="W328" s="46" t="s">
        <v>19</v>
      </c>
      <c r="X328" s="46" t="s">
        <v>75</v>
      </c>
    </row>
    <row r="329" spans="1:24" s="51" customFormat="1">
      <c r="A329" s="46" t="s">
        <v>672</v>
      </c>
      <c r="B329" s="47" t="s">
        <v>1523</v>
      </c>
      <c r="C329" s="46" t="s">
        <v>1522</v>
      </c>
      <c r="D329" s="46" t="s">
        <v>20</v>
      </c>
      <c r="E329" s="48" t="s">
        <v>1505</v>
      </c>
      <c r="F329" s="48"/>
      <c r="G329" s="46"/>
      <c r="H329" s="46"/>
      <c r="I329" s="47"/>
      <c r="J329" s="46" t="s">
        <v>1410</v>
      </c>
      <c r="K329" s="47" t="s">
        <v>1523</v>
      </c>
      <c r="L329" s="52" t="str">
        <f>IF(M329&lt;=0.9,HYPERLINK("http://www.lxhausys.co.kr/popup/rn/download/downloadPopup.jsp?from=plwindow&amp;uu=/upload/window/REPORT/LXH-EA25-123 F-140-224FFNG1A5.pdf","1등급"),IF(M329&lt;=1.2,HYPERLINK("http://www.lxhausys.co.kr/popup/rn/download/downloadPopup.jsp?from=plwindow&amp;uu=/upload/window/REPORT/LXH-EA25-123 F-140-224FFNG1A5.pdf","2등급"),IF(M329&lt;=1.8,HYPERLINK("http://www.lxhausys.co.kr/popup/rn/download/downloadPopup.jsp?from=plwindow&amp;uu=/upload/window/REPORT/LXH-EA25-123 F-140-224FFNG1A5.pdf","3등급"),IF(M329&lt;=2.3,HYPERLINK("http://www.lxhausys.co.kr/popup/rn/download/downloadPopup.jsp?from=plwindow&amp;uu=/upload/window/REPORT/LXH-EA25-123 F-140-224FFNG1A5.pdf","4등급"),IF(M329&lt;=2.8,HYPERLINK("http://www.lxhausys.co.kr/popup/rn/download/downloadPopup.jsp?from=plwindow&amp;uu=/upload/window/REPORT/LXH-EA25-123 F-140-224FFNG1A5.pdf","5등급"),HYPERLINK("http://www.lxhausys.co.kr/popup/rn/download/downloadPopup.jsp?from=plwindow&amp;uu=/upload/window/REPORT/LXH-EA25-123 F-140-224FFNG1A54.pdf","등급외"))))))</f>
        <v>4등급</v>
      </c>
      <c r="M329" s="49">
        <v>1.9119999999999999</v>
      </c>
      <c r="N329" s="49">
        <v>1.46</v>
      </c>
      <c r="O329" s="46"/>
      <c r="P329" s="46" t="s">
        <v>1510</v>
      </c>
      <c r="Q329" s="46" t="s">
        <v>19</v>
      </c>
      <c r="R329" s="46" t="s">
        <v>19</v>
      </c>
      <c r="S329" s="46" t="s">
        <v>19</v>
      </c>
      <c r="T329" s="46" t="s">
        <v>19</v>
      </c>
      <c r="U329" s="46" t="s">
        <v>19</v>
      </c>
      <c r="V329" s="46" t="s">
        <v>19</v>
      </c>
      <c r="W329" s="46" t="s">
        <v>19</v>
      </c>
      <c r="X329" s="46" t="s">
        <v>75</v>
      </c>
    </row>
    <row r="330" spans="1:24" s="51" customFormat="1">
      <c r="A330" s="46" t="s">
        <v>707</v>
      </c>
      <c r="B330" s="47" t="s">
        <v>1525</v>
      </c>
      <c r="C330" s="46" t="s">
        <v>1524</v>
      </c>
      <c r="D330" s="46" t="s">
        <v>20</v>
      </c>
      <c r="E330" s="48" t="s">
        <v>1514</v>
      </c>
      <c r="F330" s="48" t="s">
        <v>1448</v>
      </c>
      <c r="G330" s="46"/>
      <c r="H330" s="46"/>
      <c r="I330" s="47"/>
      <c r="J330" s="46" t="s">
        <v>1410</v>
      </c>
      <c r="K330" s="47" t="s">
        <v>1525</v>
      </c>
      <c r="L330" s="52" t="str">
        <f>IF(M330&lt;=0.9,HYPERLINK("http://www.lxhausys.co.kr/popup/rn/download/downloadPopup.jsp?from=plwindow&amp;uu=/upload/window/REPORT/LXH-EA25-122 F-270I-466NGGG1R5.pdf","1등급"),IF(M330&lt;=1.2,HYPERLINK("http://www.lxhausys.co.kr/popup/rn/download/downloadPopup.jsp?from=plwindow&amp;uu=/upload/window/REPORT/LXH-EA25-122 F-270I-466NGGG1R5.pdf","2등급"),IF(M330&lt;=1.8,HYPERLINK("http://www.lxhausys.co.kr/popup/rn/download/downloadPopup.jsp?from=plwindow&amp;uu=/upload/window/REPORT/LXH-EA25-122 F-270I-466NGGG1R5.pdf","3등급"),IF(M330&lt;=2.3,HYPERLINK("http://www.lxhausys.co.kr/popup/rn/download/downloadPopup.jsp?from=plwindow&amp;uu=/upload/window/REPORT/LXH-EA25-122 F-270I-466NGGG1R5.pdf","4등급"),IF(M330&lt;=2.8,HYPERLINK("http://www.lxhausys.co.kr/popup/rn/download/downloadPopup.jsp?from=plwindow&amp;uu=/upload/window/REPORT/LXH-EA25-122 F-270I-466NGGG1R5.pdf","5등급"),HYPERLINK("http://www.lxhausys.co.kr/popup/rn/download/downloadPopup.jsp?from=plwindow&amp;uu=/upload/window/REPORT/LXH-EA25-122 F-270I-466NGGG1R54.pdf","등급외"))))))</f>
        <v>1등급</v>
      </c>
      <c r="M330" s="49">
        <v>0.80500000000000005</v>
      </c>
      <c r="N330" s="49">
        <v>0.79</v>
      </c>
      <c r="O330" s="46"/>
      <c r="P330" s="46" t="s">
        <v>22</v>
      </c>
      <c r="Q330" s="46" t="s">
        <v>19</v>
      </c>
      <c r="R330" s="46" t="s">
        <v>19</v>
      </c>
      <c r="S330" s="46" t="s">
        <v>19</v>
      </c>
      <c r="T330" s="46" t="s">
        <v>19</v>
      </c>
      <c r="U330" s="46" t="s">
        <v>19</v>
      </c>
      <c r="V330" s="46" t="s">
        <v>19</v>
      </c>
      <c r="W330" s="46" t="s">
        <v>19</v>
      </c>
      <c r="X330" s="46" t="s">
        <v>75</v>
      </c>
    </row>
    <row r="331" spans="1:24" s="51" customFormat="1">
      <c r="A331" s="46" t="s">
        <v>671</v>
      </c>
      <c r="B331" s="47" t="s">
        <v>1527</v>
      </c>
      <c r="C331" s="46" t="s">
        <v>1526</v>
      </c>
      <c r="D331" s="46" t="s">
        <v>20</v>
      </c>
      <c r="E331" s="48" t="s">
        <v>1558</v>
      </c>
      <c r="F331" s="48" t="s">
        <v>1559</v>
      </c>
      <c r="G331" s="46"/>
      <c r="H331" s="46"/>
      <c r="I331" s="47"/>
      <c r="J331" s="46" t="s">
        <v>1410</v>
      </c>
      <c r="K331" s="47" t="s">
        <v>1527</v>
      </c>
      <c r="L331" s="52" t="str">
        <f>IF(M331&lt;=0.9,HYPERLINK("http://www.lxhausys.co.kr/popup/rn/download/downloadPopup.jsp?from=plwindow&amp;uu=/upload/window/REPORT/LXH-EA25-121 F-250-488NGGG1R5.pdf","1등급"),IF(M331&lt;=1.2,HYPERLINK("http://www.lxhausys.co.kr/popup/rn/download/downloadPopup.jsp?from=plwindow&amp;uu=/upload/window/REPORT/LXH-EA25-121 F-250-488NGGG1R5.pdf","2등급"),IF(M331&lt;=1.8,HYPERLINK("http://www.lxhausys.co.kr/popup/rn/download/downloadPopup.jsp?from=plwindow&amp;uu=/upload/window/REPORT/LXH-EA25-121 F-250-488NGGG1R5.pdf","3등급"),IF(M331&lt;=2.3,HYPERLINK("http://www.lxhausys.co.kr/popup/rn/download/downloadPopup.jsp?from=plwindow&amp;uu=/upload/window/REPORT/LXH-EA25-121 F-250-488NGGG1R5.pdf","4등급"),IF(M331&lt;=2.8,HYPERLINK("http://www.lxhausys.co.kr/popup/rn/download/downloadPopup.jsp?from=plwindow&amp;uu=/upload/window/REPORT/LXH-EA25-121 F-250-488NGGG1R5.pdf","5등급"),HYPERLINK("http://www.lxhausys.co.kr/popup/rn/download/downloadPopup.jsp?from=plwindow&amp;uu=/upload/window/REPORT/LXH-EA25-121 F-250-488NGGG1R54.pdf","등급외"))))))</f>
        <v>1등급</v>
      </c>
      <c r="M331" s="49">
        <v>0.72599999999999998</v>
      </c>
      <c r="N331" s="49">
        <v>0.76</v>
      </c>
      <c r="O331" s="46"/>
      <c r="P331" s="46" t="s">
        <v>22</v>
      </c>
      <c r="Q331" s="46" t="s">
        <v>19</v>
      </c>
      <c r="R331" s="46" t="s">
        <v>19</v>
      </c>
      <c r="S331" s="46" t="s">
        <v>19</v>
      </c>
      <c r="T331" s="46" t="s">
        <v>19</v>
      </c>
      <c r="U331" s="46" t="s">
        <v>19</v>
      </c>
      <c r="V331" s="46" t="s">
        <v>19</v>
      </c>
      <c r="W331" s="46" t="s">
        <v>19</v>
      </c>
      <c r="X331" s="46" t="s">
        <v>75</v>
      </c>
    </row>
    <row r="332" spans="1:24" s="51" customFormat="1">
      <c r="A332" s="46" t="s">
        <v>706</v>
      </c>
      <c r="B332" s="47" t="s">
        <v>1529</v>
      </c>
      <c r="C332" s="46" t="s">
        <v>1528</v>
      </c>
      <c r="D332" s="46" t="s">
        <v>20</v>
      </c>
      <c r="E332" s="48" t="s">
        <v>1514</v>
      </c>
      <c r="F332" s="48" t="s">
        <v>1448</v>
      </c>
      <c r="G332" s="46"/>
      <c r="H332" s="46"/>
      <c r="I332" s="47"/>
      <c r="J332" s="46" t="s">
        <v>1410</v>
      </c>
      <c r="K332" s="47" t="s">
        <v>1529</v>
      </c>
      <c r="L332" s="52" t="str">
        <f>IF(M332&lt;=0.9,HYPERLINK("http://www.lxhausys.co.kr/popup/rn/download/downloadPopup.jsp?from=plwindow&amp;uu=/upload/window/REPORT/LXH-EA25-120 F-250I-466NGGG1R5.pdf","1등급"),IF(M332&lt;=1.2,HYPERLINK("http://www.lxhausys.co.kr/popup/rn/download/downloadPopup.jsp?from=plwindow&amp;uu=/upload/window/REPORT/LXH-EA25-120 F-250I-466NGGG1R5.pdf","2등급"),IF(M332&lt;=1.8,HYPERLINK("http://www.lxhausys.co.kr/popup/rn/download/downloadPopup.jsp?from=plwindow&amp;uu=/upload/window/REPORT/LXH-EA25-120 F-250I-466NGGG1R5.pdf","3등급"),IF(M332&lt;=2.3,HYPERLINK("http://www.lxhausys.co.kr/popup/rn/download/downloadPopup.jsp?from=plwindow&amp;uu=/upload/window/REPORT/LXH-EA25-120 F-250I-466NGGG1R5.pdf","4등급"),IF(M332&lt;=2.8,HYPERLINK("http://www.lxhausys.co.kr/popup/rn/download/downloadPopup.jsp?from=plwindow&amp;uu=/upload/window/REPORT/LXH-EA25-120 F-250I-466NGGG1R5.pdf","5등급"),HYPERLINK("http://www.lxhausys.co.kr/popup/rn/download/downloadPopup.jsp?from=plwindow&amp;uu=/upload/window/REPORT/LXH-EA25-120 F-250I-466NGGG1R54.pdf","등급외"))))))</f>
        <v>1등급</v>
      </c>
      <c r="M332" s="49">
        <v>0.80600000000000005</v>
      </c>
      <c r="N332" s="49">
        <v>0.76</v>
      </c>
      <c r="O332" s="46"/>
      <c r="P332" s="46" t="s">
        <v>22</v>
      </c>
      <c r="Q332" s="46" t="s">
        <v>19</v>
      </c>
      <c r="R332" s="46" t="s">
        <v>19</v>
      </c>
      <c r="S332" s="46" t="s">
        <v>19</v>
      </c>
      <c r="T332" s="46" t="s">
        <v>19</v>
      </c>
      <c r="U332" s="46" t="s">
        <v>19</v>
      </c>
      <c r="V332" s="46" t="s">
        <v>19</v>
      </c>
      <c r="W332" s="46" t="s">
        <v>19</v>
      </c>
      <c r="X332" s="46" t="s">
        <v>75</v>
      </c>
    </row>
    <row r="333" spans="1:24" s="51" customFormat="1">
      <c r="A333" s="46" t="s">
        <v>672</v>
      </c>
      <c r="B333" s="47" t="s">
        <v>1531</v>
      </c>
      <c r="C333" s="46" t="s">
        <v>1530</v>
      </c>
      <c r="D333" s="46" t="s">
        <v>20</v>
      </c>
      <c r="E333" s="48" t="s">
        <v>1507</v>
      </c>
      <c r="F333" s="48"/>
      <c r="G333" s="46"/>
      <c r="H333" s="46"/>
      <c r="I333" s="47"/>
      <c r="J333" s="46" t="s">
        <v>1410</v>
      </c>
      <c r="K333" s="47" t="s">
        <v>1531</v>
      </c>
      <c r="L333" s="52" t="str">
        <f>IF(M333&lt;=0.9,HYPERLINK("http://www.lxhausys.co.kr/popup/rn/download/downloadPopup.jsp?from=plwindow&amp;uu=/upload/window/REPORT/LXH-EA25-119 F-140-228FFNG1R5.pdf","1등급"),IF(M333&lt;=1.2,HYPERLINK("http://www.lxhausys.co.kr/popup/rn/download/downloadPopup.jsp?from=plwindow&amp;uu=/upload/window/REPORT/LXH-EA25-119 F-140-228FFNG1R5.pdf","2등급"),IF(M333&lt;=1.8,HYPERLINK("http://www.lxhausys.co.kr/popup/rn/download/downloadPopup.jsp?from=plwindow&amp;uu=/upload/window/REPORT/LXH-EA25-119 F-140-228FFNG1R5.pdf","3등급"),IF(M333&lt;=2.3,HYPERLINK("http://www.lxhausys.co.kr/popup/rn/download/downloadPopup.jsp?from=plwindow&amp;uu=/upload/window/REPORT/LXH-EA25-119 F-140-228FFNG1R5.pdf","4등급"),IF(M333&lt;=2.8,HYPERLINK("http://www.lxhausys.co.kr/popup/rn/download/downloadPopup.jsp?from=plwindow&amp;uu=/upload/window/REPORT/LXH-EA25-119 F-140-228FFNG1R5.pdf","5등급"),HYPERLINK("http://www.lxhausys.co.kr/popup/rn/download/downloadPopup.jsp?from=plwindow&amp;uu=/upload/window/REPORT/LXH-EA25-119 F-140-228FFNG1R54.pdf","등급외"))))))</f>
        <v>3등급</v>
      </c>
      <c r="M333" s="49">
        <v>1.5669999999999999</v>
      </c>
      <c r="N333" s="49">
        <v>1.47</v>
      </c>
      <c r="O333" s="46"/>
      <c r="P333" s="46" t="s">
        <v>150</v>
      </c>
      <c r="Q333" s="46" t="s">
        <v>19</v>
      </c>
      <c r="R333" s="46" t="s">
        <v>19</v>
      </c>
      <c r="S333" s="46" t="s">
        <v>19</v>
      </c>
      <c r="T333" s="46" t="s">
        <v>19</v>
      </c>
      <c r="U333" s="46" t="s">
        <v>19</v>
      </c>
      <c r="V333" s="46" t="s">
        <v>19</v>
      </c>
      <c r="W333" s="46" t="s">
        <v>19</v>
      </c>
      <c r="X333" s="46" t="s">
        <v>75</v>
      </c>
    </row>
    <row r="334" spans="1:24" s="51" customFormat="1">
      <c r="A334" s="46" t="s">
        <v>672</v>
      </c>
      <c r="B334" s="47" t="s">
        <v>1533</v>
      </c>
      <c r="C334" s="46" t="s">
        <v>1532</v>
      </c>
      <c r="D334" s="46" t="s">
        <v>20</v>
      </c>
      <c r="E334" s="48" t="s">
        <v>1508</v>
      </c>
      <c r="F334" s="48"/>
      <c r="G334" s="46"/>
      <c r="H334" s="46"/>
      <c r="I334" s="47"/>
      <c r="J334" s="46" t="s">
        <v>1410</v>
      </c>
      <c r="K334" s="47" t="s">
        <v>1533</v>
      </c>
      <c r="L334" s="52" t="str">
        <f>IF(M334&lt;=0.9,HYPERLINK("http://www.lxhausys.co.kr/popup/rn/download/downloadPopup.jsp?from=plwindow&amp;uu=/upload/window/REPORT/LXH-EA25-118 F-140-228FFNG1A5.pdf","1등급"),IF(M334&lt;=1.2,HYPERLINK("http://www.lxhausys.co.kr/popup/rn/download/downloadPopup.jsp?from=plwindow&amp;uu=/upload/window/REPORT/LXH-EA25-118 F-140-228FFNG1A5.pdf","2등급"),IF(M334&lt;=1.8,HYPERLINK("http://www.lxhausys.co.kr/popup/rn/download/downloadPopup.jsp?from=plwindow&amp;uu=/upload/window/REPORT/LXH-EA25-118 F-140-228FFNG1A5.pdf","3등급"),IF(M334&lt;=2.3,HYPERLINK("http://www.lxhausys.co.kr/popup/rn/download/downloadPopup.jsp?from=plwindow&amp;uu=/upload/window/REPORT/LXH-EA25-118 F-140-228FFNG1A5.pdf","4등급"),IF(M334&lt;=2.8,HYPERLINK("http://www.lxhausys.co.kr/popup/rn/download/downloadPopup.jsp?from=plwindow&amp;uu=/upload/window/REPORT/LXH-EA25-118 F-140-228FFNG1A5.pdf","5등급"),HYPERLINK("http://www.lxhausys.co.kr/popup/rn/download/downloadPopup.jsp?from=plwindow&amp;uu=/upload/window/REPORT/LXH-EA25-118 F-140-228FFNG1A54.pdf","등급외"))))))</f>
        <v>3등급</v>
      </c>
      <c r="M334" s="49">
        <v>1.754</v>
      </c>
      <c r="N334" s="49">
        <v>1.43</v>
      </c>
      <c r="O334" s="46"/>
      <c r="P334" s="46" t="s">
        <v>150</v>
      </c>
      <c r="Q334" s="46" t="s">
        <v>19</v>
      </c>
      <c r="R334" s="46" t="s">
        <v>19</v>
      </c>
      <c r="S334" s="46" t="s">
        <v>19</v>
      </c>
      <c r="T334" s="46" t="s">
        <v>19</v>
      </c>
      <c r="U334" s="46" t="s">
        <v>19</v>
      </c>
      <c r="V334" s="46" t="s">
        <v>19</v>
      </c>
      <c r="W334" s="46" t="s">
        <v>19</v>
      </c>
      <c r="X334" s="46" t="s">
        <v>75</v>
      </c>
    </row>
    <row r="335" spans="1:24" s="51" customFormat="1">
      <c r="A335" s="46" t="s">
        <v>707</v>
      </c>
      <c r="B335" s="47" t="s">
        <v>1535</v>
      </c>
      <c r="C335" s="46" t="s">
        <v>1534</v>
      </c>
      <c r="D335" s="46" t="s">
        <v>20</v>
      </c>
      <c r="E335" s="48" t="s">
        <v>1509</v>
      </c>
      <c r="F335" s="48" t="s">
        <v>1470</v>
      </c>
      <c r="G335" s="46"/>
      <c r="H335" s="46"/>
      <c r="I335" s="47"/>
      <c r="J335" s="46" t="s">
        <v>1410</v>
      </c>
      <c r="K335" s="47" t="s">
        <v>1535</v>
      </c>
      <c r="L335" s="52" t="str">
        <f>IF(M335&lt;=0.9,HYPERLINK("http://www.lxhausys.co.kr/popup/rn/download/downloadPopup.jsp?from=plwindow&amp;uu=/upload/window/REPORT/LXH-EA25-117 F-270I-444NGGG1R5.pdf","1등급"),IF(M335&lt;=1.2,HYPERLINK("http://www.lxhausys.co.kr/popup/rn/download/downloadPopup.jsp?from=plwindow&amp;uu=/upload/window/REPORT/LXH-EA25-117 F-270I-444NGGG1R5.pdf","2등급"),IF(M335&lt;=1.8,HYPERLINK("http://www.lxhausys.co.kr/popup/rn/download/downloadPopup.jsp?from=plwindow&amp;uu=/upload/window/REPORT/LXH-EA25-117 F-270I-444NGGG1R5.pdf","3등급"),IF(M335&lt;=2.3,HYPERLINK("http://www.lxhausys.co.kr/popup/rn/download/downloadPopup.jsp?from=plwindow&amp;uu=/upload/window/REPORT/LXH-EA25-117 F-270I-444NGGG1R5.pdf","4등급"),IF(M335&lt;=2.8,HYPERLINK("http://www.lxhausys.co.kr/popup/rn/download/downloadPopup.jsp?from=plwindow&amp;uu=/upload/window/REPORT/LXH-EA25-117 F-270I-444NGGG1R5.pdf","5등급"),HYPERLINK("http://www.lxhausys.co.kr/popup/rn/download/downloadPopup.jsp?from=plwindow&amp;uu=/upload/window/REPORT/LXH-EA25-117 F-270I-444NGGG1R54.pdf","등급외"))))))</f>
        <v>1등급</v>
      </c>
      <c r="M335" s="49">
        <v>0.81799999999999995</v>
      </c>
      <c r="N335" s="49">
        <v>0.81</v>
      </c>
      <c r="O335" s="46"/>
      <c r="P335" s="46" t="s">
        <v>22</v>
      </c>
      <c r="Q335" s="46" t="s">
        <v>19</v>
      </c>
      <c r="R335" s="46" t="s">
        <v>19</v>
      </c>
      <c r="S335" s="46" t="s">
        <v>19</v>
      </c>
      <c r="T335" s="46" t="s">
        <v>19</v>
      </c>
      <c r="U335" s="46" t="s">
        <v>19</v>
      </c>
      <c r="V335" s="46" t="s">
        <v>19</v>
      </c>
      <c r="W335" s="46" t="s">
        <v>19</v>
      </c>
      <c r="X335" s="46" t="s">
        <v>75</v>
      </c>
    </row>
    <row r="336" spans="1:24" s="51" customFormat="1">
      <c r="A336" s="46" t="s">
        <v>671</v>
      </c>
      <c r="B336" s="47" t="s">
        <v>1537</v>
      </c>
      <c r="C336" s="46" t="s">
        <v>1536</v>
      </c>
      <c r="D336" s="46" t="s">
        <v>20</v>
      </c>
      <c r="E336" s="48" t="s">
        <v>1560</v>
      </c>
      <c r="F336" s="48" t="s">
        <v>1559</v>
      </c>
      <c r="G336" s="46"/>
      <c r="H336" s="46"/>
      <c r="I336" s="47"/>
      <c r="J336" s="46" t="s">
        <v>1410</v>
      </c>
      <c r="K336" s="47" t="s">
        <v>1537</v>
      </c>
      <c r="L336" s="52" t="str">
        <f>IF(M336&lt;=0.9,HYPERLINK("http://www.lxhausys.co.kr/popup/rn/download/downloadPopup.jsp?from=plwindow&amp;uu=/upload/window/REPORT/LXH-EA25-116 F-250-488NGGG2A5.pdf","1등급"),IF(M336&lt;=1.2,HYPERLINK("http://www.lxhausys.co.kr/popup/rn/download/downloadPopup.jsp?from=plwindow&amp;uu=/upload/window/REPORT/LXH-EA25-116 F-250-488NGGG2A5.pdf","2등급"),IF(M336&lt;=1.8,HYPERLINK("http://www.lxhausys.co.kr/popup/rn/download/downloadPopup.jsp?from=plwindow&amp;uu=/upload/window/REPORT/LXH-EA25-116 F-250-488NGGG2A5.pdf","3등급"),IF(M336&lt;=2.3,HYPERLINK("http://www.lxhausys.co.kr/popup/rn/download/downloadPopup.jsp?from=plwindow&amp;uu=/upload/window/REPORT/LXH-EA25-116 F-250-488NGGG2A5.pdf","4등급"),IF(M336&lt;=2.8,HYPERLINK("http://www.lxhausys.co.kr/popup/rn/download/downloadPopup.jsp?from=plwindow&amp;uu=/upload/window/REPORT/LXH-EA25-116 F-250-488NGGG2A5.pdf","5등급"),HYPERLINK("http://www.lxhausys.co.kr/popup/rn/download/downloadPopup.jsp?from=plwindow&amp;uu=/upload/window/REPORT/LXH-EA25-116 F-250-488NGGG2A54.pdf","등급외"))))))</f>
        <v>1등급</v>
      </c>
      <c r="M336" s="49">
        <v>0.84299999999999997</v>
      </c>
      <c r="N336" s="49">
        <v>0.76</v>
      </c>
      <c r="O336" s="46"/>
      <c r="P336" s="46" t="s">
        <v>22</v>
      </c>
      <c r="Q336" s="46" t="s">
        <v>19</v>
      </c>
      <c r="R336" s="46" t="s">
        <v>19</v>
      </c>
      <c r="S336" s="46" t="s">
        <v>19</v>
      </c>
      <c r="T336" s="46" t="s">
        <v>19</v>
      </c>
      <c r="U336" s="46" t="s">
        <v>19</v>
      </c>
      <c r="V336" s="46" t="s">
        <v>19</v>
      </c>
      <c r="W336" s="46" t="s">
        <v>19</v>
      </c>
      <c r="X336" s="46" t="s">
        <v>75</v>
      </c>
    </row>
    <row r="337" spans="1:24" s="51" customFormat="1">
      <c r="A337" s="46" t="s">
        <v>708</v>
      </c>
      <c r="B337" s="47" t="s">
        <v>1539</v>
      </c>
      <c r="C337" s="46" t="s">
        <v>1538</v>
      </c>
      <c r="D337" s="46" t="s">
        <v>20</v>
      </c>
      <c r="E337" s="48" t="s">
        <v>1507</v>
      </c>
      <c r="F337" s="48"/>
      <c r="G337" s="46"/>
      <c r="H337" s="46"/>
      <c r="I337" s="47"/>
      <c r="J337" s="46" t="s">
        <v>1410</v>
      </c>
      <c r="K337" s="47" t="s">
        <v>1539</v>
      </c>
      <c r="L337" s="52" t="str">
        <f>IF(M337&lt;=0.9,HYPERLINK("http://www.lxhausys.co.kr/popup/rn/download/downloadPopup.jsp?from=plwindow&amp;uu=/upload/window/REPORT/LXH-EA25-114 F-130I-228FFNG1R5.pdf","1등급"),IF(M337&lt;=1.2,HYPERLINK("http://www.lxhausys.co.kr/popup/rn/download/downloadPopup.jsp?from=plwindow&amp;uu=/upload/window/REPORT/LXH-EA25-114 F-130I-228FFNG1R5.pdf","2등급"),IF(M337&lt;=1.8,HYPERLINK("http://www.lxhausys.co.kr/popup/rn/download/downloadPopup.jsp?from=plwindow&amp;uu=/upload/window/REPORT/LXH-EA25-114 F-130I-228FFNG1R5.pdf","3등급"),IF(M337&lt;=2.3,HYPERLINK("http://www.lxhausys.co.kr/popup/rn/download/downloadPopup.jsp?from=plwindow&amp;uu=/upload/window/REPORT/LXH-EA25-114 F-130I-228FFNG1R5.pdf","4등급"),IF(M337&lt;=2.8,HYPERLINK("http://www.lxhausys.co.kr/popup/rn/download/downloadPopup.jsp?from=plwindow&amp;uu=/upload/window/REPORT/LXH-EA25-114 F-130I-228FFNG1R5.pdf","5등급"),HYPERLINK("http://www.lxhausys.co.kr/popup/rn/download/downloadPopup.jsp?from=plwindow&amp;uu=/upload/window/REPORT/LXH-EA25-114 F-130I-228FFNG1R54.pdf","등급외"))))))</f>
        <v>3등급</v>
      </c>
      <c r="M337" s="49">
        <v>1.58</v>
      </c>
      <c r="N337" s="49">
        <v>1.62</v>
      </c>
      <c r="O337" s="46"/>
      <c r="P337" s="46" t="s">
        <v>150</v>
      </c>
      <c r="Q337" s="46" t="s">
        <v>19</v>
      </c>
      <c r="R337" s="46" t="s">
        <v>19</v>
      </c>
      <c r="S337" s="46" t="s">
        <v>19</v>
      </c>
      <c r="T337" s="46" t="s">
        <v>19</v>
      </c>
      <c r="U337" s="46" t="s">
        <v>19</v>
      </c>
      <c r="V337" s="46" t="s">
        <v>19</v>
      </c>
      <c r="W337" s="46" t="s">
        <v>19</v>
      </c>
      <c r="X337" s="46" t="s">
        <v>75</v>
      </c>
    </row>
    <row r="338" spans="1:24" s="51" customFormat="1">
      <c r="A338" s="46" t="s">
        <v>708</v>
      </c>
      <c r="B338" s="47" t="s">
        <v>1541</v>
      </c>
      <c r="C338" s="46" t="s">
        <v>1540</v>
      </c>
      <c r="D338" s="46" t="s">
        <v>20</v>
      </c>
      <c r="E338" s="48" t="s">
        <v>1508</v>
      </c>
      <c r="F338" s="48"/>
      <c r="G338" s="46"/>
      <c r="H338" s="46"/>
      <c r="I338" s="47"/>
      <c r="J338" s="46" t="s">
        <v>1410</v>
      </c>
      <c r="K338" s="47" t="s">
        <v>1541</v>
      </c>
      <c r="L338" s="52" t="str">
        <f>IF(M338&lt;=0.9,HYPERLINK("http://www.lxhausys.co.kr/popup/rn/download/downloadPopup.jsp?from=plwindow&amp;uu=/upload/window/REPORT/LXH-EA25-113 F-130I-228FFNG1A5.pdf","1등급"),IF(M338&lt;=1.2,HYPERLINK("http://www.lxhausys.co.kr/popup/rn/download/downloadPopup.jsp?from=plwindow&amp;uu=/upload/window/REPORT/LXH-EA25-113 F-130I-228FFNG1A5.pdf","2등급"),IF(M338&lt;=1.8,HYPERLINK("http://www.lxhausys.co.kr/popup/rn/download/downloadPopup.jsp?from=plwindow&amp;uu=/upload/window/REPORT/LXH-EA25-113 F-130I-228FFNG1A5.pdf","3등급"),IF(M338&lt;=2.3,HYPERLINK("http://www.lxhausys.co.kr/popup/rn/download/downloadPopup.jsp?from=plwindow&amp;uu=/upload/window/REPORT/LXH-EA25-113 F-130I-228FFNG1A5.pdf","4등급"),IF(M338&lt;=2.8,HYPERLINK("http://www.lxhausys.co.kr/popup/rn/download/downloadPopup.jsp?from=plwindow&amp;uu=/upload/window/REPORT/LXH-EA25-113 F-130I-228FFNG1A5.pdf","5등급"),HYPERLINK("http://www.lxhausys.co.kr/popup/rn/download/downloadPopup.jsp?from=plwindow&amp;uu=/upload/window/REPORT/LXH-EA25-113 F-130I-228FFNG1A54.pdf","등급외"))))))</f>
        <v>3등급</v>
      </c>
      <c r="M338" s="49">
        <v>1.764</v>
      </c>
      <c r="N338" s="49">
        <v>1.64</v>
      </c>
      <c r="O338" s="46"/>
      <c r="P338" s="46" t="s">
        <v>150</v>
      </c>
      <c r="Q338" s="46" t="s">
        <v>19</v>
      </c>
      <c r="R338" s="46" t="s">
        <v>19</v>
      </c>
      <c r="S338" s="46" t="s">
        <v>19</v>
      </c>
      <c r="T338" s="46" t="s">
        <v>19</v>
      </c>
      <c r="U338" s="46" t="s">
        <v>19</v>
      </c>
      <c r="V338" s="46" t="s">
        <v>19</v>
      </c>
      <c r="W338" s="46" t="s">
        <v>19</v>
      </c>
      <c r="X338" s="46" t="s">
        <v>75</v>
      </c>
    </row>
    <row r="339" spans="1:24" s="51" customFormat="1">
      <c r="A339" s="46" t="s">
        <v>708</v>
      </c>
      <c r="B339" s="47" t="s">
        <v>1543</v>
      </c>
      <c r="C339" s="46" t="s">
        <v>1542</v>
      </c>
      <c r="D339" s="46" t="s">
        <v>20</v>
      </c>
      <c r="E339" s="48" t="s">
        <v>1506</v>
      </c>
      <c r="F339" s="48"/>
      <c r="G339" s="46"/>
      <c r="H339" s="46"/>
      <c r="I339" s="47"/>
      <c r="J339" s="46" t="s">
        <v>1410</v>
      </c>
      <c r="K339" s="47" t="s">
        <v>1543</v>
      </c>
      <c r="L339" s="52" t="str">
        <f>IF(M339&lt;=0.9,HYPERLINK("http://www.lxhausys.co.kr/popup/rn/download/downloadPopup.jsp?from=plwindow&amp;uu=/upload/window/REPORT/LXH-EA25-112 F-130I-226FFNG1A5.pdf","1등급"),IF(M339&lt;=1.2,HYPERLINK("http://www.lxhausys.co.kr/popup/rn/download/downloadPopup.jsp?from=plwindow&amp;uu=/upload/window/REPORT/LXH-EA25-112 F-130I-226FFNG1A5.pdf","2등급"),IF(M339&lt;=1.8,HYPERLINK("http://www.lxhausys.co.kr/popup/rn/download/downloadPopup.jsp?from=plwindow&amp;uu=/upload/window/REPORT/LXH-EA25-112 F-130I-226FFNG1A5.pdf","3등급"),IF(M339&lt;=2.3,HYPERLINK("http://www.lxhausys.co.kr/popup/rn/download/downloadPopup.jsp?from=plwindow&amp;uu=/upload/window/REPORT/LXH-EA25-112 F-130I-226FFNG1A5.pdf","4등급"),IF(M339&lt;=2.8,HYPERLINK("http://www.lxhausys.co.kr/popup/rn/download/downloadPopup.jsp?from=plwindow&amp;uu=/upload/window/REPORT/LXH-EA25-112 F-130I-226FFNG1A5.pdf","5등급"),HYPERLINK("http://www.lxhausys.co.kr/popup/rn/download/downloadPopup.jsp?from=plwindow&amp;uu=/upload/window/REPORT/LXH-EA25-112 F-130I-226FFNG1A54.pdf","등급외"))))))</f>
        <v>4등급</v>
      </c>
      <c r="M339" s="49">
        <v>1.823</v>
      </c>
      <c r="N339" s="49">
        <v>1.31</v>
      </c>
      <c r="O339" s="46"/>
      <c r="P339" s="46" t="s">
        <v>1510</v>
      </c>
      <c r="Q339" s="46" t="s">
        <v>19</v>
      </c>
      <c r="R339" s="46" t="s">
        <v>19</v>
      </c>
      <c r="S339" s="46" t="s">
        <v>19</v>
      </c>
      <c r="T339" s="46" t="s">
        <v>19</v>
      </c>
      <c r="U339" s="46" t="s">
        <v>19</v>
      </c>
      <c r="V339" s="46" t="s">
        <v>19</v>
      </c>
      <c r="W339" s="46" t="s">
        <v>19</v>
      </c>
      <c r="X339" s="46" t="s">
        <v>75</v>
      </c>
    </row>
    <row r="340" spans="1:24" s="51" customFormat="1">
      <c r="A340" s="46" t="s">
        <v>708</v>
      </c>
      <c r="B340" s="47" t="s">
        <v>1545</v>
      </c>
      <c r="C340" s="46" t="s">
        <v>1544</v>
      </c>
      <c r="D340" s="46" t="s">
        <v>20</v>
      </c>
      <c r="E340" s="48" t="s">
        <v>1505</v>
      </c>
      <c r="F340" s="48"/>
      <c r="G340" s="46"/>
      <c r="H340" s="46"/>
      <c r="I340" s="47"/>
      <c r="J340" s="46" t="s">
        <v>1410</v>
      </c>
      <c r="K340" s="47" t="s">
        <v>1545</v>
      </c>
      <c r="L340" s="52" t="str">
        <f>IF(M340&lt;=0.9,HYPERLINK("http://www.lxhausys.co.kr/popup/rn/download/downloadPopup.jsp?from=plwindow&amp;uu=/upload/window/REPORT/LXH-EA25-111 F-130I-224FFNG1A5.pdf","1등급"),IF(M340&lt;=1.2,HYPERLINK("http://www.lxhausys.co.kr/popup/rn/download/downloadPopup.jsp?from=plwindow&amp;uu=/upload/window/REPORT/LXH-EA25-111 F-130I-224FFNG1A5.pdf","2등급"),IF(M340&lt;=1.8,HYPERLINK("http://www.lxhausys.co.kr/popup/rn/download/downloadPopup.jsp?from=plwindow&amp;uu=/upload/window/REPORT/LXH-EA25-111 F-130I-224FFNG1A5.pdf","3등급"),IF(M340&lt;=2.3,HYPERLINK("http://www.lxhausys.co.kr/popup/rn/download/downloadPopup.jsp?from=plwindow&amp;uu=/upload/window/REPORT/LXH-EA25-111 F-130I-224FFNG1A5.pdf","4등급"),IF(M340&lt;=2.8,HYPERLINK("http://www.lxhausys.co.kr/popup/rn/download/downloadPopup.jsp?from=plwindow&amp;uu=/upload/window/REPORT/LXH-EA25-111 F-130I-224FFNG1A5.pdf","5등급"),HYPERLINK("http://www.lxhausys.co.kr/popup/rn/download/downloadPopup.jsp?from=plwindow&amp;uu=/upload/window/REPORT/LXH-EA25-111 F-130I-224FFNG1A54.pdf","등급외"))))))</f>
        <v>4등급</v>
      </c>
      <c r="M340" s="49">
        <v>1.8919999999999999</v>
      </c>
      <c r="N340" s="49">
        <v>1.39</v>
      </c>
      <c r="O340" s="46"/>
      <c r="P340" s="46" t="s">
        <v>1510</v>
      </c>
      <c r="Q340" s="46" t="s">
        <v>19</v>
      </c>
      <c r="R340" s="46" t="s">
        <v>19</v>
      </c>
      <c r="S340" s="46" t="s">
        <v>19</v>
      </c>
      <c r="T340" s="46" t="s">
        <v>19</v>
      </c>
      <c r="U340" s="46" t="s">
        <v>19</v>
      </c>
      <c r="V340" s="46" t="s">
        <v>19</v>
      </c>
      <c r="W340" s="46" t="s">
        <v>19</v>
      </c>
      <c r="X340" s="46" t="s">
        <v>75</v>
      </c>
    </row>
    <row r="341" spans="1:24" s="51" customFormat="1">
      <c r="A341" s="46" t="s">
        <v>710</v>
      </c>
      <c r="B341" s="47" t="s">
        <v>1547</v>
      </c>
      <c r="C341" s="46" t="s">
        <v>1546</v>
      </c>
      <c r="D341" s="46" t="s">
        <v>20</v>
      </c>
      <c r="E341" s="48" t="s">
        <v>1447</v>
      </c>
      <c r="F341" s="48" t="s">
        <v>1561</v>
      </c>
      <c r="G341" s="46"/>
      <c r="H341" s="46"/>
      <c r="I341" s="47"/>
      <c r="J341" s="46" t="s">
        <v>1410</v>
      </c>
      <c r="K341" s="47" t="s">
        <v>1547</v>
      </c>
      <c r="L341" s="52" t="str">
        <f>IF(M341&lt;=0.9,HYPERLINK("http://www.lxhausys.co.kr/popup/rn/download/downloadPopup.jsp?from=plwindow&amp;uu=/upload/window/REPORT/LXH-EA25-131 F-250IS-466GGGL2A5-2.pdf","1등급"),IF(M341&lt;=1.2,HYPERLINK("http://www.lxhausys.co.kr/popup/rn/download/downloadPopup.jsp?from=plwindow&amp;uu=/upload/window/REPORT/LXH-EA25-131 F-250IS-466GGGL2A5-2.pdf","2등급"),IF(M341&lt;=1.8,HYPERLINK("http://www.lxhausys.co.kr/popup/rn/download/downloadPopup.jsp?from=plwindow&amp;uu=/upload/window/REPORT/LXH-EA25-131 F-250IS-466GGGL2A5-2.pdf","3등급"),IF(M341&lt;=2.3,HYPERLINK("http://www.lxhausys.co.kr/popup/rn/download/downloadPopup.jsp?from=plwindow&amp;uu=/upload/window/REPORT/LXH-EA25-131 F-250IS-466GGGL2A5-2.pdf","4등급"),IF(M341&lt;=2.8,HYPERLINK("http://www.lxhausys.co.kr/popup/rn/download/downloadPopup.jsp?from=plwindow&amp;uu=/upload/window/REPORT/LXH-EA25-131 F-250IS-466GGGL2A5-2.pdf","5등급"),HYPERLINK("http://www.lxhausys.co.kr/popup/rn/download/downloadPopup.jsp?from=plwindow&amp;uu=/upload/window/REPORT/LXH-EA25-131 F-250IS-466GGGL2A5-24.pdf","등급외"))))))</f>
        <v>1등급</v>
      </c>
      <c r="M341" s="49">
        <v>0.88700000000000001</v>
      </c>
      <c r="N341" s="49">
        <v>0.76</v>
      </c>
      <c r="O341" s="46"/>
      <c r="P341" s="46" t="s">
        <v>22</v>
      </c>
      <c r="Q341" s="46" t="s">
        <v>19</v>
      </c>
      <c r="R341" s="46" t="s">
        <v>19</v>
      </c>
      <c r="S341" s="46" t="s">
        <v>19</v>
      </c>
      <c r="T341" s="46" t="s">
        <v>19</v>
      </c>
      <c r="U341" s="46" t="s">
        <v>19</v>
      </c>
      <c r="V341" s="46" t="s">
        <v>19</v>
      </c>
      <c r="W341" s="46" t="s">
        <v>19</v>
      </c>
      <c r="X341" s="46" t="s">
        <v>75</v>
      </c>
    </row>
    <row r="342" spans="1:24" s="51" customFormat="1">
      <c r="A342" s="46" t="s">
        <v>710</v>
      </c>
      <c r="B342" s="47" t="s">
        <v>1549</v>
      </c>
      <c r="C342" s="46" t="s">
        <v>1548</v>
      </c>
      <c r="D342" s="46" t="s">
        <v>20</v>
      </c>
      <c r="E342" s="48" t="s">
        <v>1562</v>
      </c>
      <c r="F342" s="48" t="s">
        <v>1563</v>
      </c>
      <c r="G342" s="46"/>
      <c r="H342" s="46"/>
      <c r="I342" s="47"/>
      <c r="J342" s="46" t="s">
        <v>1410</v>
      </c>
      <c r="K342" s="47" t="s">
        <v>1549</v>
      </c>
      <c r="L342" s="52" t="str">
        <f>IF(M342&lt;=0.9,HYPERLINK("http://www.lxhausys.co.kr/popup/rn/download/downloadPopup.jsp?from=plwindow&amp;uu=/upload/window/REPORT/LXH-EA25-130 F-250IS-444GGGL1R5-2.pdf","1등급"),IF(M342&lt;=1.2,HYPERLINK("http://www.lxhausys.co.kr/popup/rn/download/downloadPopup.jsp?from=plwindow&amp;uu=/upload/window/REPORT/LXH-EA25-130 F-250IS-444GGGL1R5-2.pdf","2등급"),IF(M342&lt;=1.8,HYPERLINK("http://www.lxhausys.co.kr/popup/rn/download/downloadPopup.jsp?from=plwindow&amp;uu=/upload/window/REPORT/LXH-EA25-130 F-250IS-444GGGL1R5-2.pdf","3등급"),IF(M342&lt;=2.3,HYPERLINK("http://www.lxhausys.co.kr/popup/rn/download/downloadPopup.jsp?from=plwindow&amp;uu=/upload/window/REPORT/LXH-EA25-130 F-250IS-444GGGL1R5-2.pdf","4등급"),IF(M342&lt;=2.8,HYPERLINK("http://www.lxhausys.co.kr/popup/rn/download/downloadPopup.jsp?from=plwindow&amp;uu=/upload/window/REPORT/LXH-EA25-130 F-250IS-444GGGL1R5-2.pdf","5등급"),HYPERLINK("http://www.lxhausys.co.kr/popup/rn/download/downloadPopup.jsp?from=plwindow&amp;uu=/upload/window/REPORT/LXH-EA25-130 F-250IS-444GGGL1R5-24.pdf","등급외"))))))</f>
        <v>1등급</v>
      </c>
      <c r="M342" s="49">
        <v>0.82399999999999995</v>
      </c>
      <c r="N342" s="49">
        <v>0.78</v>
      </c>
      <c r="O342" s="46"/>
      <c r="P342" s="46" t="s">
        <v>22</v>
      </c>
      <c r="Q342" s="46" t="s">
        <v>19</v>
      </c>
      <c r="R342" s="46" t="s">
        <v>19</v>
      </c>
      <c r="S342" s="46" t="s">
        <v>19</v>
      </c>
      <c r="T342" s="46" t="s">
        <v>19</v>
      </c>
      <c r="U342" s="46" t="s">
        <v>19</v>
      </c>
      <c r="V342" s="46" t="s">
        <v>19</v>
      </c>
      <c r="W342" s="46" t="s">
        <v>19</v>
      </c>
      <c r="X342" s="46" t="s">
        <v>75</v>
      </c>
    </row>
    <row r="343" spans="1:24" s="51" customFormat="1">
      <c r="A343" s="46" t="s">
        <v>706</v>
      </c>
      <c r="B343" s="47" t="s">
        <v>1551</v>
      </c>
      <c r="C343" s="46" t="s">
        <v>1550</v>
      </c>
      <c r="D343" s="46" t="s">
        <v>20</v>
      </c>
      <c r="E343" s="48" t="s">
        <v>1558</v>
      </c>
      <c r="F343" s="48" t="s">
        <v>1559</v>
      </c>
      <c r="G343" s="46"/>
      <c r="H343" s="46"/>
      <c r="I343" s="47"/>
      <c r="J343" s="46" t="s">
        <v>1410</v>
      </c>
      <c r="K343" s="47" t="s">
        <v>1551</v>
      </c>
      <c r="L343" s="52" t="str">
        <f>IF(M343&lt;=0.9,HYPERLINK("http://www.lxhausys.co.kr/popup/rn/download/downloadPopup.jsp?from=plwindow&amp;uu=/upload/window/REPORT/LXH-EA25-129 F-250I-488NGGG1R5.pdf","1등급"),IF(M343&lt;=1.2,HYPERLINK("http://www.lxhausys.co.kr/popup/rn/download/downloadPopup.jsp?from=plwindow&amp;uu=/upload/window/REPORT/LXH-EA25-129 F-250I-488NGGG1R5.pdf","2등급"),IF(M343&lt;=1.8,HYPERLINK("http://www.lxhausys.co.kr/popup/rn/download/downloadPopup.jsp?from=plwindow&amp;uu=/upload/window/REPORT/LXH-EA25-129 F-250I-488NGGG1R5.pdf","3등급"),IF(M343&lt;=2.3,HYPERLINK("http://www.lxhausys.co.kr/popup/rn/download/downloadPopup.jsp?from=plwindow&amp;uu=/upload/window/REPORT/LXH-EA25-129 F-250I-488NGGG1R5.pdf","4등급"),IF(M343&lt;=2.8,HYPERLINK("http://www.lxhausys.co.kr/popup/rn/download/downloadPopup.jsp?from=plwindow&amp;uu=/upload/window/REPORT/LXH-EA25-129 F-250I-488NGGG1R5.pdf","5등급"),HYPERLINK("http://www.lxhausys.co.kr/popup/rn/download/downloadPopup.jsp?from=plwindow&amp;uu=/upload/window/REPORT/LXH-EA25-129 F-250I-488NGGG1R54.pdf","등급외"))))))</f>
        <v>1등급</v>
      </c>
      <c r="M343" s="49">
        <v>0.76200000000000001</v>
      </c>
      <c r="N343" s="49">
        <v>0.73</v>
      </c>
      <c r="O343" s="46"/>
      <c r="P343" s="46" t="s">
        <v>22</v>
      </c>
      <c r="Q343" s="46" t="s">
        <v>19</v>
      </c>
      <c r="R343" s="46" t="s">
        <v>19</v>
      </c>
      <c r="S343" s="46" t="s">
        <v>19</v>
      </c>
      <c r="T343" s="46" t="s">
        <v>19</v>
      </c>
      <c r="U343" s="46" t="s">
        <v>19</v>
      </c>
      <c r="V343" s="46" t="s">
        <v>19</v>
      </c>
      <c r="W343" s="46" t="s">
        <v>19</v>
      </c>
      <c r="X343" s="46" t="s">
        <v>75</v>
      </c>
    </row>
    <row r="344" spans="1:24" s="51" customFormat="1">
      <c r="A344" s="46" t="s">
        <v>707</v>
      </c>
      <c r="B344" s="47" t="s">
        <v>1553</v>
      </c>
      <c r="C344" s="46" t="s">
        <v>1552</v>
      </c>
      <c r="D344" s="46" t="s">
        <v>20</v>
      </c>
      <c r="E344" s="48" t="s">
        <v>1564</v>
      </c>
      <c r="F344" s="48" t="s">
        <v>1559</v>
      </c>
      <c r="G344" s="46"/>
      <c r="H344" s="46"/>
      <c r="I344" s="47"/>
      <c r="J344" s="46" t="s">
        <v>1410</v>
      </c>
      <c r="K344" s="47" t="s">
        <v>1553</v>
      </c>
      <c r="L344" s="52" t="str">
        <f>IF(M344&lt;=0.9,HYPERLINK("http://www.lxhausys.co.kr/popup/rn/download/downloadPopup.jsp?from=plwindow&amp;uu=/upload/window/REPORT/LXH-EA25-128 F-270I-488NGGG2A5.pdf","1등급"),IF(M344&lt;=1.2,HYPERLINK("http://www.lxhausys.co.kr/popup/rn/download/downloadPopup.jsp?from=plwindow&amp;uu=/upload/window/REPORT/LXH-EA25-128 F-270I-488NGGG2A5.pdf","2등급"),IF(M344&lt;=1.8,HYPERLINK("http://www.lxhausys.co.kr/popup/rn/download/downloadPopup.jsp?from=plwindow&amp;uu=/upload/window/REPORT/LXH-EA25-128 F-270I-488NGGG2A5.pdf","3등급"),IF(M344&lt;=2.3,HYPERLINK("http://www.lxhausys.co.kr/popup/rn/download/downloadPopup.jsp?from=plwindow&amp;uu=/upload/window/REPORT/LXH-EA25-128 F-270I-488NGGG2A5.pdf","4등급"),IF(M344&lt;=2.8,HYPERLINK("http://www.lxhausys.co.kr/popup/rn/download/downloadPopup.jsp?from=plwindow&amp;uu=/upload/window/REPORT/LXH-EA25-128 F-270I-488NGGG2A5.pdf","5등급"),HYPERLINK("http://www.lxhausys.co.kr/popup/rn/download/downloadPopup.jsp?from=plwindow&amp;uu=/upload/window/REPORT/LXH-EA25-128 F-270I-488NGGG2A54.pdf","등급외"))))))</f>
        <v>1등급</v>
      </c>
      <c r="M344" s="49">
        <v>0.86399999999999999</v>
      </c>
      <c r="N344" s="49">
        <v>0.8</v>
      </c>
      <c r="O344" s="46"/>
      <c r="P344" s="46" t="s">
        <v>22</v>
      </c>
      <c r="Q344" s="46" t="s">
        <v>19</v>
      </c>
      <c r="R344" s="46" t="s">
        <v>19</v>
      </c>
      <c r="S344" s="46" t="s">
        <v>19</v>
      </c>
      <c r="T344" s="46" t="s">
        <v>19</v>
      </c>
      <c r="U344" s="46" t="s">
        <v>19</v>
      </c>
      <c r="V344" s="46" t="s">
        <v>19</v>
      </c>
      <c r="W344" s="46" t="s">
        <v>19</v>
      </c>
      <c r="X344" s="46" t="s">
        <v>75</v>
      </c>
    </row>
    <row r="345" spans="1:24" s="51" customFormat="1">
      <c r="A345" s="46" t="s">
        <v>707</v>
      </c>
      <c r="B345" s="47" t="s">
        <v>1555</v>
      </c>
      <c r="C345" s="46" t="s">
        <v>1554</v>
      </c>
      <c r="D345" s="46" t="s">
        <v>20</v>
      </c>
      <c r="E345" s="48" t="s">
        <v>1558</v>
      </c>
      <c r="F345" s="48" t="s">
        <v>1559</v>
      </c>
      <c r="G345" s="46" t="s">
        <v>404</v>
      </c>
      <c r="H345" s="46"/>
      <c r="I345" s="47"/>
      <c r="J345" s="46" t="s">
        <v>1410</v>
      </c>
      <c r="K345" s="47" t="s">
        <v>1555</v>
      </c>
      <c r="L345" s="52" t="str">
        <f>IF(M345&lt;=0.9,HYPERLINK("http://www.lxhausys.co.kr/popup/rn/download/downloadPopup.jsp?from=plwindow&amp;uu=/upload/window/REPORT/LXH-EA25-127 F-270I-488NGGG1R5.pdf","1등급"),IF(M345&lt;=1.2,HYPERLINK("http://www.lxhausys.co.kr/popup/rn/download/downloadPopup.jsp?from=plwindow&amp;uu=/upload/window/REPORT/LXH-EA25-127 F-270I-488NGGG1R5.pdf","2등급"),IF(M345&lt;=1.8,HYPERLINK("http://www.lxhausys.co.kr/popup/rn/download/downloadPopup.jsp?from=plwindow&amp;uu=/upload/window/REPORT/LXH-EA25-127 F-270I-488NGGG1R5.pdf","3등급"),IF(M345&lt;=2.3,HYPERLINK("http://www.lxhausys.co.kr/popup/rn/download/downloadPopup.jsp?from=plwindow&amp;uu=/upload/window/REPORT/LXH-EA25-127 F-270I-488NGGG1R5.pdf","4등급"),IF(M345&lt;=2.8,HYPERLINK("http://www.lxhausys.co.kr/popup/rn/download/downloadPopup.jsp?from=plwindow&amp;uu=/upload/window/REPORT/LXH-EA25-127 F-270I-488NGGG1R5.pdf","5등급"),HYPERLINK("http://www.lxhausys.co.kr/popup/rn/download/downloadPopup.jsp?from=plwindow&amp;uu=/upload/window/REPORT/LXH-EA25-127 F-270I-488NGGG1R54.pdf","등급외"))))))</f>
        <v>1등급</v>
      </c>
      <c r="M345" s="49">
        <v>0.76500000000000001</v>
      </c>
      <c r="N345" s="49">
        <v>0.8</v>
      </c>
      <c r="O345" s="46"/>
      <c r="P345" s="46" t="s">
        <v>22</v>
      </c>
      <c r="Q345" s="46" t="s">
        <v>19</v>
      </c>
      <c r="R345" s="46" t="s">
        <v>19</v>
      </c>
      <c r="S345" s="46" t="s">
        <v>19</v>
      </c>
      <c r="T345" s="46" t="s">
        <v>19</v>
      </c>
      <c r="U345" s="46" t="s">
        <v>19</v>
      </c>
      <c r="V345" s="46" t="s">
        <v>19</v>
      </c>
      <c r="W345" s="46" t="s">
        <v>19</v>
      </c>
      <c r="X345" s="46" t="s">
        <v>75</v>
      </c>
    </row>
    <row r="346" spans="1:24" s="51" customFormat="1">
      <c r="A346" s="46" t="s">
        <v>706</v>
      </c>
      <c r="B346" s="47" t="s">
        <v>1557</v>
      </c>
      <c r="C346" s="46" t="s">
        <v>1556</v>
      </c>
      <c r="D346" s="46" t="s">
        <v>20</v>
      </c>
      <c r="E346" s="48" t="s">
        <v>1560</v>
      </c>
      <c r="F346" s="48" t="s">
        <v>1559</v>
      </c>
      <c r="G346" s="46" t="s">
        <v>404</v>
      </c>
      <c r="H346" s="46"/>
      <c r="I346" s="47"/>
      <c r="J346" s="46" t="s">
        <v>1410</v>
      </c>
      <c r="K346" s="47" t="s">
        <v>1557</v>
      </c>
      <c r="L346" s="52" t="str">
        <f>IF(M346&lt;=0.9,HYPERLINK("http://www.lxhausys.co.kr/popup/rn/download/downloadPopup.jsp?from=plwindow&amp;uu=/upload/window/REPORT/LXH-EA25-126 F-250I-488NGGG2A5.pdf","1등급"),IF(M346&lt;=1.2,HYPERLINK("http://www.lxhausys.co.kr/popup/rn/download/downloadPopup.jsp?from=plwindow&amp;uu=/upload/window/REPORT/LXH-EA25-126 F-250I-488NGGG2A5.pdf","2등급"),IF(M346&lt;=1.8,HYPERLINK("http://www.lxhausys.co.kr/popup/rn/download/downloadPopup.jsp?from=plwindow&amp;uu=/upload/window/REPORT/LXH-EA25-126 F-250I-488NGGG2A5.pdf","3등급"),IF(M346&lt;=2.3,HYPERLINK("http://www.lxhausys.co.kr/popup/rn/download/downloadPopup.jsp?from=plwindow&amp;uu=/upload/window/REPORT/LXH-EA25-126 F-250I-488NGGG2A5.pdf","4등급"),IF(M346&lt;=2.8,HYPERLINK("http://www.lxhausys.co.kr/popup/rn/download/downloadPopup.jsp?from=plwindow&amp;uu=/upload/window/REPORT/LXH-EA25-126 F-250I-488NGGG2A5.pdf","5등급"),HYPERLINK("http://www.lxhausys.co.kr/popup/rn/download/downloadPopup.jsp?from=plwindow&amp;uu=/upload/window/REPORT/LXH-EA25-126 F-250I-488NGGG2A54.pdf","등급외"))))))</f>
        <v>1등급</v>
      </c>
      <c r="M346" s="49">
        <v>0.86799999999999999</v>
      </c>
      <c r="N346" s="49">
        <v>0.75</v>
      </c>
      <c r="O346" s="46"/>
      <c r="P346" s="46" t="s">
        <v>22</v>
      </c>
      <c r="Q346" s="46" t="s">
        <v>19</v>
      </c>
      <c r="R346" s="46" t="s">
        <v>19</v>
      </c>
      <c r="S346" s="46" t="s">
        <v>19</v>
      </c>
      <c r="T346" s="46" t="s">
        <v>19</v>
      </c>
      <c r="U346" s="46" t="s">
        <v>19</v>
      </c>
      <c r="V346" s="46" t="s">
        <v>19</v>
      </c>
      <c r="W346" s="46" t="s">
        <v>19</v>
      </c>
      <c r="X346" s="46" t="s">
        <v>75</v>
      </c>
    </row>
    <row r="347" spans="1:24" s="51" customFormat="1">
      <c r="A347" s="46" t="s">
        <v>673</v>
      </c>
      <c r="B347" s="47" t="s">
        <v>1581</v>
      </c>
      <c r="C347" s="46" t="s">
        <v>1565</v>
      </c>
      <c r="D347" s="46" t="s">
        <v>20</v>
      </c>
      <c r="E347" s="47" t="s">
        <v>1507</v>
      </c>
      <c r="F347" s="48"/>
      <c r="G347" s="46" t="s">
        <v>404</v>
      </c>
      <c r="H347" s="46"/>
      <c r="I347" s="46"/>
      <c r="J347" s="46" t="s">
        <v>1598</v>
      </c>
      <c r="K347" s="47" t="s">
        <v>1599</v>
      </c>
      <c r="L347" s="52" t="str">
        <f>IF(M347&lt;=0.9,HYPERLINK("http://www.lxhausys.co.kr/popup/rn/download/downloadPopup.jsp?from=plwindow&amp;uu=/upload/window/REPORT/LXH-EA25-136 F-145-228FFNG1R5.pdf","1등급"),IF(M347&lt;=1.2,HYPERLINK("http://www.lxhausys.co.kr/popup/rn/download/downloadPopup.jsp?from=plwindow&amp;uu=/upload/window/REPORT/LXH-EA25-136 F-145-228FFNG1R5.pdf","2등급"),IF(M347&lt;=1.8,HYPERLINK("http://www.lxhausys.co.kr/popup/rn/download/downloadPopup.jsp?from=plwindow&amp;uu=/upload/window/REPORT/LXH-EA25-136 F-145-228FFNG1R5.pdf","3등급"),IF(M347&lt;=2.3,HYPERLINK("http://www.lxhausys.co.kr/popup/rn/download/downloadPopup.jsp?from=plwindow&amp;uu=/upload/window/REPORT/LXH-EA25-136 F-145-228FFNG1R5.pdf","4등급"),IF(M347&lt;=2.8,HYPERLINK("http://www.lxhausys.co.kr/popup/rn/download/downloadPopup.jsp?from=plwindow&amp;uu=/upload/window/REPORT/LXH-EA25-136 F-145-228FFNG1R5.pdf","5등급"),HYPERLINK("http://www.lxhausys.co.kr/popup/rn/download/downloadPopup.jsp?from=plwindow&amp;uu=/upload/window/REPORT/LXH-EA25-136 F-145-228FFNG1R54.pdf","등급외"))))))</f>
        <v>3등급</v>
      </c>
      <c r="M347" s="49">
        <v>1.526</v>
      </c>
      <c r="N347" s="49">
        <v>1.6</v>
      </c>
      <c r="O347" s="46"/>
      <c r="P347" s="46" t="s">
        <v>150</v>
      </c>
      <c r="Q347" s="46" t="s">
        <v>19</v>
      </c>
      <c r="R347" s="46" t="s">
        <v>19</v>
      </c>
      <c r="S347" s="46" t="s">
        <v>19</v>
      </c>
      <c r="T347" s="46" t="s">
        <v>19</v>
      </c>
      <c r="U347" s="46" t="s">
        <v>19</v>
      </c>
      <c r="V347" s="46" t="s">
        <v>19</v>
      </c>
      <c r="W347" s="46" t="s">
        <v>19</v>
      </c>
      <c r="X347" s="46" t="s">
        <v>75</v>
      </c>
    </row>
    <row r="348" spans="1:24">
      <c r="A348" s="46" t="s">
        <v>673</v>
      </c>
      <c r="B348" s="47" t="s">
        <v>1582</v>
      </c>
      <c r="C348" s="46" t="s">
        <v>1566</v>
      </c>
      <c r="D348" s="46" t="s">
        <v>20</v>
      </c>
      <c r="E348" s="47" t="s">
        <v>1506</v>
      </c>
      <c r="F348" s="48"/>
      <c r="G348" s="46" t="s">
        <v>404</v>
      </c>
      <c r="H348" s="46"/>
      <c r="I348" s="46"/>
      <c r="J348" s="46" t="s">
        <v>1598</v>
      </c>
      <c r="K348" s="47" t="s">
        <v>1600</v>
      </c>
      <c r="L348" s="52" t="str">
        <f>IF(M348&lt;=0.9,HYPERLINK("http://www.lxhausys.co.kr/popup/rn/download/downloadPopup.jsp?from=plwindow&amp;uu=/upload/window/REPORT/LXH-EA25-135 F-145-226FFNG1A5.pdf","1등급"),IF(M348&lt;=1.2,HYPERLINK("http://www.lxhausys.co.kr/popup/rn/download/downloadPopup.jsp?from=plwindow&amp;uu=/upload/window/REPORT/LXH-EA25-135 F-145-226FFNG1A5.pdf","2등급"),IF(M348&lt;=1.8,HYPERLINK("http://www.lxhausys.co.kr/popup/rn/download/downloadPopup.jsp?from=plwindow&amp;uu=/upload/window/REPORT/LXH-EA25-135 F-145-226FFNG1A5.pdf","3등급"),IF(M348&lt;=2.3,HYPERLINK("http://www.lxhausys.co.kr/popup/rn/download/downloadPopup.jsp?from=plwindow&amp;uu=/upload/window/REPORT/LXH-EA25-135 F-145-226FFNG1A5.pdf","4등급"),IF(M348&lt;=2.8,HYPERLINK("http://www.lxhausys.co.kr/popup/rn/download/downloadPopup.jsp?from=plwindow&amp;uu=/upload/window/REPORT/LXH-EA25-135 F-145-226FFNG1A5.pdf","5등급"),HYPERLINK("http://www.lxhausys.co.kr/popup/rn/download/downloadPopup.jsp?from=plwindow&amp;uu=/upload/window/REPORT/LXH-EA25-135 F-145-226FFNG1A54.pdf","등급외"))))))</f>
        <v>3등급</v>
      </c>
      <c r="M348" s="49">
        <v>1.798</v>
      </c>
      <c r="N348" s="49">
        <v>1.65</v>
      </c>
      <c r="O348" s="46"/>
      <c r="P348" s="46" t="s">
        <v>150</v>
      </c>
      <c r="Q348" s="46" t="s">
        <v>19</v>
      </c>
      <c r="R348" s="46" t="s">
        <v>19</v>
      </c>
      <c r="S348" s="46" t="s">
        <v>19</v>
      </c>
      <c r="T348" s="46" t="s">
        <v>19</v>
      </c>
      <c r="U348" s="46" t="s">
        <v>19</v>
      </c>
      <c r="V348" s="46" t="s">
        <v>19</v>
      </c>
      <c r="W348" s="46" t="s">
        <v>19</v>
      </c>
      <c r="X348" s="46" t="s">
        <v>75</v>
      </c>
    </row>
    <row r="349" spans="1:24">
      <c r="A349" s="46" t="s">
        <v>673</v>
      </c>
      <c r="B349" s="47" t="s">
        <v>1583</v>
      </c>
      <c r="C349" s="46" t="s">
        <v>1567</v>
      </c>
      <c r="D349" s="46" t="s">
        <v>20</v>
      </c>
      <c r="E349" s="47" t="s">
        <v>1505</v>
      </c>
      <c r="F349" s="48"/>
      <c r="G349" s="46" t="s">
        <v>404</v>
      </c>
      <c r="H349" s="46"/>
      <c r="I349" s="46"/>
      <c r="J349" s="46" t="s">
        <v>1598</v>
      </c>
      <c r="K349" s="47" t="s">
        <v>1583</v>
      </c>
      <c r="L349" s="52" t="str">
        <f>IF(M349&lt;=0.9,HYPERLINK("http://www.lxhausys.co.kr/popup/rn/download/downloadPopup.jsp?from=plwindow&amp;uu=/upload/window/REPORT/LXH-EA25-134 F-145-224FFNG1A5.pdf","1등급"),IF(M349&lt;=1.2,HYPERLINK("http://www.lxhausys.co.kr/popup/rn/download/downloadPopup.jsp?from=plwindow&amp;uu=/upload/window/REPORT/LXH-EA25-134 F-145-224FFNG1A5.pdf","2등급"),IF(M349&lt;=1.8,HYPERLINK("http://www.lxhausys.co.kr/popup/rn/download/downloadPopup.jsp?from=plwindow&amp;uu=/upload/window/REPORT/LXH-EA25-134 F-145-224FFNG1A5.pdf","3등급"),IF(M349&lt;=2.3,HYPERLINK("http://www.lxhausys.co.kr/popup/rn/download/downloadPopup.jsp?from=plwindow&amp;uu=/upload/window/REPORT/LXH-EA25-134 F-145-224FFNG1A5.pdf","4등급"),IF(M349&lt;=2.8,HYPERLINK("http://www.lxhausys.co.kr/popup/rn/download/downloadPopup.jsp?from=plwindow&amp;uu=/upload/window/REPORT/LXH-EA25-134 F-145-224FFNG1A5.pdf","5등급"),HYPERLINK("http://www.lxhausys.co.kr/popup/rn/download/downloadPopup.jsp?from=plwindow&amp;uu=/upload/window/REPORT/LXH-EA25-134 F-145-224FFNG1A54.pdf","등급외"))))))</f>
        <v>4등급</v>
      </c>
      <c r="M349" s="49">
        <v>1.887</v>
      </c>
      <c r="N349" s="49">
        <v>1.65</v>
      </c>
      <c r="O349" s="46"/>
      <c r="P349" s="46" t="s">
        <v>1510</v>
      </c>
      <c r="Q349" s="46" t="s">
        <v>19</v>
      </c>
      <c r="R349" s="46" t="s">
        <v>19</v>
      </c>
      <c r="S349" s="46" t="s">
        <v>19</v>
      </c>
      <c r="T349" s="46" t="s">
        <v>19</v>
      </c>
      <c r="U349" s="46" t="s">
        <v>19</v>
      </c>
      <c r="V349" s="46" t="s">
        <v>19</v>
      </c>
      <c r="W349" s="46" t="s">
        <v>19</v>
      </c>
      <c r="X349" s="46" t="s">
        <v>75</v>
      </c>
    </row>
    <row r="350" spans="1:24">
      <c r="A350" s="46" t="s">
        <v>673</v>
      </c>
      <c r="B350" s="47" t="s">
        <v>1584</v>
      </c>
      <c r="C350" s="46" t="s">
        <v>1568</v>
      </c>
      <c r="D350" s="46" t="s">
        <v>20</v>
      </c>
      <c r="E350" s="47" t="s">
        <v>1508</v>
      </c>
      <c r="F350" s="48"/>
      <c r="G350" s="46" t="s">
        <v>404</v>
      </c>
      <c r="H350" s="46"/>
      <c r="I350" s="46"/>
      <c r="J350" s="46" t="s">
        <v>1598</v>
      </c>
      <c r="K350" s="47" t="s">
        <v>1584</v>
      </c>
      <c r="L350" s="52" t="str">
        <f>IF(M350&lt;=0.9,HYPERLINK("http://www.lxhausys.co.kr/popup/rn/download/downloadPopup.jsp?from=plwindow&amp;uu=/upload/window/REPORT/LXH-EA25-133 F-145-228FFNG1A5.pdf","1등급"),IF(M350&lt;=1.2,HYPERLINK("http://www.lxhausys.co.kr/popup/rn/download/downloadPopup.jsp?from=plwindow&amp;uu=/upload/window/REPORT/LXH-EA25-133 F-145-228FFNG1A5.pdf","2등급"),IF(M350&lt;=1.8,HYPERLINK("http://www.lxhausys.co.kr/popup/rn/download/downloadPopup.jsp?from=plwindow&amp;uu=/upload/window/REPORT/LXH-EA25-133 F-145-228FFNG1A5.pdf","3등급"),IF(M350&lt;=2.3,HYPERLINK("http://www.lxhausys.co.kr/popup/rn/download/downloadPopup.jsp?from=plwindow&amp;uu=/upload/window/REPORT/LXH-EA25-133 F-145-228FFNG1A5.pdf","4등급"),IF(M350&lt;=2.8,HYPERLINK("http://www.lxhausys.co.kr/popup/rn/download/downloadPopup.jsp?from=plwindow&amp;uu=/upload/window/REPORT/LXH-EA25-133 F-145-228FFNG1A5.pdf","5등급"),HYPERLINK("http://www.lxhausys.co.kr/popup/rn/download/downloadPopup.jsp?from=plwindow&amp;uu=/upload/window/REPORT/LXH-EA25-133 F-145-228FFNG1A54.pdf","등급외"))))))</f>
        <v>3등급</v>
      </c>
      <c r="M350" s="49">
        <v>1.7829999999999999</v>
      </c>
      <c r="N350" s="49">
        <v>1.51</v>
      </c>
      <c r="O350" s="46"/>
      <c r="P350" s="46" t="s">
        <v>150</v>
      </c>
      <c r="Q350" s="46" t="s">
        <v>19</v>
      </c>
      <c r="R350" s="46" t="s">
        <v>19</v>
      </c>
      <c r="S350" s="46" t="s">
        <v>19</v>
      </c>
      <c r="T350" s="46" t="s">
        <v>19</v>
      </c>
      <c r="U350" s="46" t="s">
        <v>19</v>
      </c>
      <c r="V350" s="46" t="s">
        <v>19</v>
      </c>
      <c r="W350" s="46" t="s">
        <v>19</v>
      </c>
      <c r="X350" s="46" t="s">
        <v>75</v>
      </c>
    </row>
    <row r="351" spans="1:24">
      <c r="A351" s="46" t="s">
        <v>677</v>
      </c>
      <c r="B351" s="47" t="s">
        <v>1585</v>
      </c>
      <c r="C351" s="46" t="s">
        <v>1569</v>
      </c>
      <c r="D351" s="46" t="s">
        <v>20</v>
      </c>
      <c r="E351" s="47" t="s">
        <v>1558</v>
      </c>
      <c r="F351" s="48" t="s">
        <v>1559</v>
      </c>
      <c r="G351" s="46" t="s">
        <v>404</v>
      </c>
      <c r="H351" s="46"/>
      <c r="I351" s="46"/>
      <c r="J351" s="46" t="s">
        <v>1598</v>
      </c>
      <c r="K351" s="47" t="s">
        <v>1585</v>
      </c>
      <c r="L351" s="52" t="str">
        <f>IF(M351&lt;=0.9,HYPERLINK("http://www.lxhausys.co.kr/popup/rn/download/downloadPopup.jsp?from=plwindow&amp;uu=/upload/window/REPORT/LXH-EA26-001 F-285-488NGGG1R5.pdf","1등급"),IF(M351&lt;=1.2,HYPERLINK("http://www.lxhausys.co.kr/popup/rn/download/downloadPopup.jsp?from=plwindow&amp;uu=/upload/window/REPORT/LXH-EA26-001 F-285-488NGGG1R5.pdf","2등급"),IF(M351&lt;=1.8,HYPERLINK("http://www.lxhausys.co.kr/popup/rn/download/downloadPopup.jsp?from=plwindow&amp;uu=/upload/window/REPORT/LXH-EA26-001 F-285-488NGGG1R5.pdf","3등급"),IF(M351&lt;=2.3,HYPERLINK("http://www.lxhausys.co.kr/popup/rn/download/downloadPopup.jsp?from=plwindow&amp;uu=/upload/window/REPORT/LXH-EA26-001 F-285-488NGGG1R5.pdf","4등급"),IF(M351&lt;=2.8,HYPERLINK("http://www.lxhausys.co.kr/popup/rn/download/downloadPopup.jsp?from=plwindow&amp;uu=/upload/window/REPORT/LXH-EA26-001 F-285-488NGGG1R5.pdf","5등급"),HYPERLINK("http://www.lxhausys.co.kr/popup/rn/download/downloadPopup.jsp?from=plwindow&amp;uu=/upload/window/REPORT/LXH-EA26-001 F-285-488NGGG1R54.pdf","등급외"))))))</f>
        <v>1등급</v>
      </c>
      <c r="M351" s="49">
        <v>0.748</v>
      </c>
      <c r="N351" s="49">
        <v>0.81</v>
      </c>
      <c r="O351" s="46"/>
      <c r="P351" s="46" t="s">
        <v>22</v>
      </c>
      <c r="Q351" s="46" t="s">
        <v>19</v>
      </c>
      <c r="R351" s="46" t="s">
        <v>19</v>
      </c>
      <c r="S351" s="46" t="s">
        <v>19</v>
      </c>
      <c r="T351" s="46" t="s">
        <v>19</v>
      </c>
      <c r="U351" s="46" t="s">
        <v>19</v>
      </c>
      <c r="V351" s="46" t="s">
        <v>19</v>
      </c>
      <c r="W351" s="46" t="s">
        <v>19</v>
      </c>
      <c r="X351" s="46" t="s">
        <v>75</v>
      </c>
    </row>
    <row r="352" spans="1:24">
      <c r="A352" s="46" t="s">
        <v>676</v>
      </c>
      <c r="B352" s="47" t="s">
        <v>1586</v>
      </c>
      <c r="C352" s="46" t="s">
        <v>1570</v>
      </c>
      <c r="D352" s="46" t="s">
        <v>20</v>
      </c>
      <c r="E352" s="47" t="s">
        <v>1509</v>
      </c>
      <c r="F352" s="48" t="s">
        <v>1470</v>
      </c>
      <c r="G352" s="46" t="s">
        <v>404</v>
      </c>
      <c r="H352" s="46"/>
      <c r="I352" s="46"/>
      <c r="J352" s="46" t="s">
        <v>1598</v>
      </c>
      <c r="K352" s="47" t="s">
        <v>1586</v>
      </c>
      <c r="L352" s="52" t="str">
        <f>IF(M352&lt;=0.9,HYPERLINK("http://www.lxhausys.co.kr/popup/rn/download/downloadPopup.jsp?from=plwindow&amp;uu=/upload/window/REPORT/LXH-EA26-002 F-265-444NGGG1R5.pdf","1등급"),IF(M352&lt;=1.2,HYPERLINK("http://www.lxhausys.co.kr/popup/rn/download/downloadPopup.jsp?from=plwindow&amp;uu=/upload/window/REPORT/LXH-EA26-002 F-265-444NGGG1R5.pdf","2등급"),IF(M352&lt;=1.8,HYPERLINK("http://www.lxhausys.co.kr/popup/rn/download/downloadPopup.jsp?from=plwindow&amp;uu=/upload/window/REPORT/LXH-EA26-002 F-265-444NGGG1R5.pdf","3등급"),IF(M352&lt;=2.3,HYPERLINK("http://www.lxhausys.co.kr/popup/rn/download/downloadPopup.jsp?from=plwindow&amp;uu=/upload/window/REPORT/LXH-EA26-002 F-265-444NGGG1R5.pdf","4등급"),IF(M352&lt;=2.8,HYPERLINK("http://www.lxhausys.co.kr/popup/rn/download/downloadPopup.jsp?from=plwindow&amp;uu=/upload/window/REPORT/LXH-EA26-002 F-265-444NGGG1R5.pdf","5등급"),HYPERLINK("http://www.lxhausys.co.kr/popup/rn/download/downloadPopup.jsp?from=plwindow&amp;uu=/upload/window/REPORT/LXH-EA26-002 F-265-444NGGG1R54.pdf","등급외"))))))</f>
        <v>1등급</v>
      </c>
      <c r="M352" s="49">
        <v>0.85799999999999998</v>
      </c>
      <c r="N352" s="49">
        <v>0.8</v>
      </c>
      <c r="O352" s="46"/>
      <c r="P352" s="46" t="s">
        <v>22</v>
      </c>
      <c r="Q352" s="46" t="s">
        <v>19</v>
      </c>
      <c r="R352" s="46" t="s">
        <v>19</v>
      </c>
      <c r="S352" s="46" t="s">
        <v>19</v>
      </c>
      <c r="T352" s="46" t="s">
        <v>19</v>
      </c>
      <c r="U352" s="46" t="s">
        <v>19</v>
      </c>
      <c r="V352" s="46" t="s">
        <v>19</v>
      </c>
      <c r="W352" s="46" t="s">
        <v>19</v>
      </c>
      <c r="X352" s="46" t="s">
        <v>75</v>
      </c>
    </row>
    <row r="353" spans="1:24">
      <c r="A353" s="46" t="s">
        <v>677</v>
      </c>
      <c r="B353" s="47" t="s">
        <v>1587</v>
      </c>
      <c r="C353" s="46" t="s">
        <v>1571</v>
      </c>
      <c r="D353" s="46" t="s">
        <v>20</v>
      </c>
      <c r="E353" s="47" t="s">
        <v>1514</v>
      </c>
      <c r="F353" s="48" t="s">
        <v>1448</v>
      </c>
      <c r="G353" s="46" t="s">
        <v>404</v>
      </c>
      <c r="H353" s="46"/>
      <c r="I353" s="46"/>
      <c r="J353" s="46" t="s">
        <v>1598</v>
      </c>
      <c r="K353" s="47" t="s">
        <v>1587</v>
      </c>
      <c r="L353" s="52" t="str">
        <f>IF(M353&lt;=0.9,HYPERLINK("http://www.lxhausys.co.kr/popup/rn/download/downloadPopup.jsp?from=plwindow&amp;uu=/upload/window/REPORT/LXH-EA26-003 F-285-466NGGG1R5.pdf","1등급"),IF(M353&lt;=1.2,HYPERLINK("http://www.lxhausys.co.kr/popup/rn/download/downloadPopup.jsp?from=plwindow&amp;uu=/upload/window/REPORT/LXH-EA26-003 F-285-466NGGG1R5.pdf","2등급"),IF(M353&lt;=1.8,HYPERLINK("http://www.lxhausys.co.kr/popup/rn/download/downloadPopup.jsp?from=plwindow&amp;uu=/upload/window/REPORT/LXH-EA26-003 F-285-466NGGG1R5.pdf","3등급"),IF(M353&lt;=2.3,HYPERLINK("http://www.lxhausys.co.kr/popup/rn/download/downloadPopup.jsp?from=plwindow&amp;uu=/upload/window/REPORT/LXH-EA26-003 F-285-466NGGG1R5.pdf","4등급"),IF(M353&lt;=2.8,HYPERLINK("http://www.lxhausys.co.kr/popup/rn/download/downloadPopup.jsp?from=plwindow&amp;uu=/upload/window/REPORT/LXH-EA26-003 F-285-466NGGG1R5.pdf","5등급"),HYPERLINK("http://www.lxhausys.co.kr/popup/rn/download/downloadPopup.jsp?from=plwindow&amp;uu=/upload/window/REPORT/LXH-EA26-003 F-285-466NGGG1R54.pdf","등급외"))))))</f>
        <v>1등급</v>
      </c>
      <c r="M353" s="49">
        <v>0.77600000000000002</v>
      </c>
      <c r="N353" s="49">
        <v>0.8</v>
      </c>
      <c r="O353" s="46"/>
      <c r="P353" s="46" t="s">
        <v>22</v>
      </c>
      <c r="Q353" s="46" t="s">
        <v>19</v>
      </c>
      <c r="R353" s="46" t="s">
        <v>19</v>
      </c>
      <c r="S353" s="46" t="s">
        <v>19</v>
      </c>
      <c r="T353" s="46" t="s">
        <v>19</v>
      </c>
      <c r="U353" s="46" t="s">
        <v>19</v>
      </c>
      <c r="V353" s="46" t="s">
        <v>19</v>
      </c>
      <c r="W353" s="46" t="s">
        <v>19</v>
      </c>
      <c r="X353" s="46" t="s">
        <v>75</v>
      </c>
    </row>
    <row r="354" spans="1:24">
      <c r="A354" s="46" t="s">
        <v>677</v>
      </c>
      <c r="B354" s="47" t="s">
        <v>1588</v>
      </c>
      <c r="C354" s="46" t="s">
        <v>1572</v>
      </c>
      <c r="D354" s="46" t="s">
        <v>20</v>
      </c>
      <c r="E354" s="47" t="s">
        <v>1560</v>
      </c>
      <c r="F354" s="48" t="s">
        <v>1559</v>
      </c>
      <c r="G354" s="46" t="s">
        <v>404</v>
      </c>
      <c r="H354" s="46"/>
      <c r="I354" s="46"/>
      <c r="J354" s="46" t="s">
        <v>1598</v>
      </c>
      <c r="K354" s="47" t="s">
        <v>1588</v>
      </c>
      <c r="L354" s="52" t="str">
        <f>IF(M354&lt;=0.9,HYPERLINK("http://www.lxhausys.co.kr/popup/rn/download/downloadPopup.jsp?from=plwindow&amp;uu=/upload/window/REPORT/LXH-EA26-004 F-285-488NGGG2A5.pdf","1등급"),IF(M354&lt;=1.2,HYPERLINK("http://www.lxhausys.co.kr/popup/rn/download/downloadPopup.jsp?from=plwindow&amp;uu=/upload/window/REPORT/LXH-EA26-004 F-285-488NGGG2A5.pdf","2등급"),IF(M354&lt;=1.8,HYPERLINK("http://www.lxhausys.co.kr/popup/rn/download/downloadPopup.jsp?from=plwindow&amp;uu=/upload/window/REPORT/LXH-EA26-004 F-285-488NGGG2A5.pdf","3등급"),IF(M354&lt;=2.3,HYPERLINK("http://www.lxhausys.co.kr/popup/rn/download/downloadPopup.jsp?from=plwindow&amp;uu=/upload/window/REPORT/LXH-EA26-004 F-285-488NGGG2A5.pdf","4등급"),IF(M354&lt;=2.8,HYPERLINK("http://www.lxhausys.co.kr/popup/rn/download/downloadPopup.jsp?from=plwindow&amp;uu=/upload/window/REPORT/LXH-EA26-004 F-285-488NGGG2A5.pdf","5등급"),HYPERLINK("http://www.lxhausys.co.kr/popup/rn/download/downloadPopup.jsp?from=plwindow&amp;uu=/upload/window/REPORT/LXH-EA26-004 F-285-488NGGG2A54.pdf","등급외"))))))</f>
        <v>1등급</v>
      </c>
      <c r="M354" s="49">
        <v>0.83799999999999997</v>
      </c>
      <c r="N354" s="49">
        <v>0.78</v>
      </c>
      <c r="O354" s="46"/>
      <c r="P354" s="46" t="s">
        <v>22</v>
      </c>
      <c r="Q354" s="46" t="s">
        <v>19</v>
      </c>
      <c r="R354" s="46" t="s">
        <v>19</v>
      </c>
      <c r="S354" s="46" t="s">
        <v>19</v>
      </c>
      <c r="T354" s="46" t="s">
        <v>19</v>
      </c>
      <c r="U354" s="46" t="s">
        <v>19</v>
      </c>
      <c r="V354" s="46" t="s">
        <v>19</v>
      </c>
      <c r="W354" s="46" t="s">
        <v>19</v>
      </c>
      <c r="X354" s="46" t="s">
        <v>75</v>
      </c>
    </row>
    <row r="355" spans="1:24">
      <c r="A355" s="46" t="s">
        <v>676</v>
      </c>
      <c r="B355" s="47" t="s">
        <v>1589</v>
      </c>
      <c r="C355" s="46" t="s">
        <v>1573</v>
      </c>
      <c r="D355" s="46" t="s">
        <v>20</v>
      </c>
      <c r="E355" s="47" t="s">
        <v>1560</v>
      </c>
      <c r="F355" s="48" t="s">
        <v>1559</v>
      </c>
      <c r="G355" s="46" t="s">
        <v>404</v>
      </c>
      <c r="H355" s="46"/>
      <c r="I355" s="46"/>
      <c r="J355" s="46" t="s">
        <v>1598</v>
      </c>
      <c r="K355" s="47" t="s">
        <v>1589</v>
      </c>
      <c r="L355" s="52" t="str">
        <f>IF(M355&lt;=0.9,HYPERLINK("http://www.lxhausys.co.kr/popup/rn/download/downloadPopup.jsp?from=plwindow&amp;uu=/upload/window/REPORT/LXH-EA26-005 F-265-488NGGG2A5.pdf","1등급"),IF(M355&lt;=1.2,HYPERLINK("http://www.lxhausys.co.kr/popup/rn/download/downloadPopup.jsp?from=plwindow&amp;uu=/upload/window/REPORT/LXH-EA26-005 F-265-488NGGG2A5.pdf","2등급"),IF(M355&lt;=1.8,HYPERLINK("http://www.lxhausys.co.kr/popup/rn/download/downloadPopup.jsp?from=plwindow&amp;uu=/upload/window/REPORT/LXH-EA26-005 F-265-488NGGG2A5.pdf","3등급"),IF(M355&lt;=2.3,HYPERLINK("http://www.lxhausys.co.kr/popup/rn/download/downloadPopup.jsp?from=plwindow&amp;uu=/upload/window/REPORT/LXH-EA26-005 F-265-488NGGG2A5.pdf","4등급"),IF(M355&lt;=2.8,HYPERLINK("http://www.lxhausys.co.kr/popup/rn/download/downloadPopup.jsp?from=plwindow&amp;uu=/upload/window/REPORT/LXH-EA26-005 F-265-488NGGG2A5.pdf","5등급"),HYPERLINK("http://www.lxhausys.co.kr/popup/rn/download/downloadPopup.jsp?from=plwindow&amp;uu=/upload/window/REPORT/LXH-EA26-005 F-265-488NGGG2A54.pdf","등급외"))))))</f>
        <v>1등급</v>
      </c>
      <c r="M355" s="49">
        <v>0.83899999999999997</v>
      </c>
      <c r="N355" s="49">
        <v>0.79</v>
      </c>
      <c r="O355" s="46"/>
      <c r="P355" s="46" t="s">
        <v>22</v>
      </c>
      <c r="Q355" s="46" t="s">
        <v>19</v>
      </c>
      <c r="R355" s="46" t="s">
        <v>19</v>
      </c>
      <c r="S355" s="46" t="s">
        <v>19</v>
      </c>
      <c r="T355" s="46" t="s">
        <v>19</v>
      </c>
      <c r="U355" s="46" t="s">
        <v>19</v>
      </c>
      <c r="V355" s="46" t="s">
        <v>19</v>
      </c>
      <c r="W355" s="46" t="s">
        <v>19</v>
      </c>
      <c r="X355" s="46" t="s">
        <v>75</v>
      </c>
    </row>
    <row r="356" spans="1:24">
      <c r="A356" s="46" t="s">
        <v>676</v>
      </c>
      <c r="B356" s="47" t="s">
        <v>1590</v>
      </c>
      <c r="C356" s="46" t="s">
        <v>1574</v>
      </c>
      <c r="D356" s="46" t="s">
        <v>20</v>
      </c>
      <c r="E356" s="47" t="s">
        <v>1558</v>
      </c>
      <c r="F356" s="48" t="s">
        <v>747</v>
      </c>
      <c r="G356" s="46" t="s">
        <v>404</v>
      </c>
      <c r="H356" s="46"/>
      <c r="I356" s="46"/>
      <c r="J356" s="46" t="s">
        <v>1598</v>
      </c>
      <c r="K356" s="47" t="s">
        <v>1590</v>
      </c>
      <c r="L356" s="52" t="str">
        <f>IF(M356&lt;=0.9,HYPERLINK("http://www.lxhausys.co.kr/popup/rn/download/downloadPopup.jsp?from=plwindow&amp;uu=/upload/window/REPORT/LXH-EA26-006 F-265-488NGGG1R5.pdf","1등급"),IF(M356&lt;=1.2,HYPERLINK("http://www.lxhausys.co.kr/popup/rn/download/downloadPopup.jsp?from=plwindow&amp;uu=/upload/window/REPORT/LXH-EA26-006 F-265-488NGGG1R5.pdf","2등급"),IF(M356&lt;=1.8,HYPERLINK("http://www.lxhausys.co.kr/popup/rn/download/downloadPopup.jsp?from=plwindow&amp;uu=/upload/window/REPORT/LXH-EA26-006 F-265-488NGGG1R5.pdf","3등급"),IF(M356&lt;=2.3,HYPERLINK("http://www.lxhausys.co.kr/popup/rn/download/downloadPopup.jsp?from=plwindow&amp;uu=/upload/window/REPORT/LXH-EA26-006 F-265-488NGGG1R5.pdf","4등급"),IF(M356&lt;=2.8,HYPERLINK("http://www.lxhausys.co.kr/popup/rn/download/downloadPopup.jsp?from=plwindow&amp;uu=/upload/window/REPORT/LXH-EA26-006 F-265-488NGGG1R5.pdf","5등급"),HYPERLINK("http://www.lxhausys.co.kr/popup/rn/download/downloadPopup.jsp?from=plwindow&amp;uu=/upload/window/REPORT/LXH-EA26-006 F-265-488NGGG1R54.pdf","등급외"))))))</f>
        <v>1등급</v>
      </c>
      <c r="M356" s="49">
        <v>0.752</v>
      </c>
      <c r="N356" s="49">
        <v>0.77</v>
      </c>
      <c r="O356" s="46"/>
      <c r="P356" s="46" t="s">
        <v>22</v>
      </c>
      <c r="Q356" s="46" t="s">
        <v>19</v>
      </c>
      <c r="R356" s="46" t="s">
        <v>19</v>
      </c>
      <c r="S356" s="46" t="s">
        <v>19</v>
      </c>
      <c r="T356" s="46" t="s">
        <v>19</v>
      </c>
      <c r="U356" s="46" t="s">
        <v>19</v>
      </c>
      <c r="V356" s="46" t="s">
        <v>19</v>
      </c>
      <c r="W356" s="46" t="s">
        <v>19</v>
      </c>
      <c r="X356" s="46" t="s">
        <v>75</v>
      </c>
    </row>
    <row r="357" spans="1:24">
      <c r="A357" s="46" t="s">
        <v>676</v>
      </c>
      <c r="B357" s="47" t="s">
        <v>1591</v>
      </c>
      <c r="C357" s="46" t="s">
        <v>1575</v>
      </c>
      <c r="D357" s="46" t="s">
        <v>20</v>
      </c>
      <c r="E357" s="47" t="s">
        <v>1514</v>
      </c>
      <c r="F357" s="48" t="s">
        <v>1448</v>
      </c>
      <c r="G357" s="46" t="s">
        <v>404</v>
      </c>
      <c r="H357" s="46"/>
      <c r="I357" s="46"/>
      <c r="J357" s="46" t="s">
        <v>1598</v>
      </c>
      <c r="K357" s="47" t="s">
        <v>1591</v>
      </c>
      <c r="L357" s="52" t="str">
        <f>IF(M357&lt;=0.9,HYPERLINK("http://www.lxhausys.co.kr/popup/rn/download/downloadPopup.jsp?from=plwindow&amp;uu=/upload/window/REPORT/LXH-EA26-007 F-265-466NGGG1R5.pdf","1등급"),IF(M357&lt;=1.2,HYPERLINK("http://www.lxhausys.co.kr/popup/rn/download/downloadPopup.jsp?from=plwindow&amp;uu=/upload/window/REPORT/LXH-EA26-007 F-265-466NGGG1R5.pdf","2등급"),IF(M357&lt;=1.8,HYPERLINK("http://www.lxhausys.co.kr/popup/rn/download/downloadPopup.jsp?from=plwindow&amp;uu=/upload/window/REPORT/LXH-EA26-007 F-265-466NGGG1R5.pdf","3등급"),IF(M357&lt;=2.3,HYPERLINK("http://www.lxhausys.co.kr/popup/rn/download/downloadPopup.jsp?from=plwindow&amp;uu=/upload/window/REPORT/LXH-EA26-007 F-265-466NGGG1R5.pdf","4등급"),IF(M357&lt;=2.8,HYPERLINK("http://www.lxhausys.co.kr/popup/rn/download/downloadPopup.jsp?from=plwindow&amp;uu=/upload/window/REPORT/LXH-EA26-007 F-265-466NGGG1R5.pdf","5등급"),HYPERLINK("http://www.lxhausys.co.kr/popup/rn/download/downloadPopup.jsp?from=plwindow&amp;uu=/upload/window/REPORT/LXH-EA26-007 F-265-466NGGG1R54.pdf","등급외"))))))</f>
        <v>1등급</v>
      </c>
      <c r="M357" s="49">
        <v>0.76400000000000001</v>
      </c>
      <c r="N357" s="49">
        <v>0.78</v>
      </c>
      <c r="O357" s="46"/>
      <c r="P357" s="46" t="s">
        <v>22</v>
      </c>
      <c r="Q357" s="46" t="s">
        <v>19</v>
      </c>
      <c r="R357" s="46" t="s">
        <v>19</v>
      </c>
      <c r="S357" s="46" t="s">
        <v>19</v>
      </c>
      <c r="T357" s="46" t="s">
        <v>19</v>
      </c>
      <c r="U357" s="46" t="s">
        <v>19</v>
      </c>
      <c r="V357" s="46" t="s">
        <v>19</v>
      </c>
      <c r="W357" s="46" t="s">
        <v>19</v>
      </c>
      <c r="X357" s="46" t="s">
        <v>75</v>
      </c>
    </row>
    <row r="358" spans="1:24">
      <c r="A358" s="46" t="s">
        <v>677</v>
      </c>
      <c r="B358" s="47" t="s">
        <v>1592</v>
      </c>
      <c r="C358" s="46" t="s">
        <v>1576</v>
      </c>
      <c r="D358" s="46" t="s">
        <v>20</v>
      </c>
      <c r="E358" s="47" t="s">
        <v>1509</v>
      </c>
      <c r="F358" s="48" t="s">
        <v>1470</v>
      </c>
      <c r="G358" s="46" t="s">
        <v>404</v>
      </c>
      <c r="H358" s="46"/>
      <c r="I358" s="46"/>
      <c r="J358" s="46" t="s">
        <v>1598</v>
      </c>
      <c r="K358" s="47" t="s">
        <v>1592</v>
      </c>
      <c r="L358" s="52" t="str">
        <f>IF(M358&lt;=0.9,HYPERLINK("http://www.lxhausys.co.kr/popup/rn/download/downloadPopup.jsp?from=plwindow&amp;uu=/upload/window/REPORT/LXH-EA26-008 F-285-444NGGG1R5.pdf","1등급"),IF(M358&lt;=1.2,HYPERLINK("http://www.lxhausys.co.kr/popup/rn/download/downloadPopup.jsp?from=plwindow&amp;uu=/upload/window/REPORT/LXH-EA26-008 F-285-444NGGG1R5.pdf","2등급"),IF(M358&lt;=1.8,HYPERLINK("http://www.lxhausys.co.kr/popup/rn/download/downloadPopup.jsp?from=plwindow&amp;uu=/upload/window/REPORT/LXH-EA26-008 F-285-444NGGG1R5.pdf","3등급"),IF(M358&lt;=2.3,HYPERLINK("http://www.lxhausys.co.kr/popup/rn/download/downloadPopup.jsp?from=plwindow&amp;uu=/upload/window/REPORT/LXH-EA26-008 F-285-444NGGG1R5.pdf","4등급"),IF(M358&lt;=2.8,HYPERLINK("http://www.lxhausys.co.kr/popup/rn/download/downloadPopup.jsp?from=plwindow&amp;uu=/upload/window/REPORT/LXH-EA26-008 F-285-444NGGG1R5.pdf","5등급"),HYPERLINK("http://www.lxhausys.co.kr/popup/rn/download/downloadPopup.jsp?from=plwindow&amp;uu=/upload/window/REPORT/LXH-EA26-008 F-285-444NGGG1R54.pdf","등급외"))))))</f>
        <v>1등급</v>
      </c>
      <c r="M358" s="49">
        <v>0.85599999999999998</v>
      </c>
      <c r="N358" s="49">
        <v>0.79</v>
      </c>
      <c r="O358" s="46"/>
      <c r="P358" s="46" t="s">
        <v>22</v>
      </c>
      <c r="Q358" s="46" t="s">
        <v>19</v>
      </c>
      <c r="R358" s="46" t="s">
        <v>19</v>
      </c>
      <c r="S358" s="46" t="s">
        <v>19</v>
      </c>
      <c r="T358" s="46" t="s">
        <v>19</v>
      </c>
      <c r="U358" s="46" t="s">
        <v>19</v>
      </c>
      <c r="V358" s="46" t="s">
        <v>19</v>
      </c>
      <c r="W358" s="46" t="s">
        <v>19</v>
      </c>
      <c r="X358" s="46" t="s">
        <v>75</v>
      </c>
    </row>
    <row r="359" spans="1:24">
      <c r="A359" s="46" t="s">
        <v>674</v>
      </c>
      <c r="B359" s="47" t="s">
        <v>1593</v>
      </c>
      <c r="C359" s="46" t="s">
        <v>1577</v>
      </c>
      <c r="D359" s="46" t="s">
        <v>20</v>
      </c>
      <c r="E359" s="47" t="s">
        <v>1508</v>
      </c>
      <c r="F359" s="48"/>
      <c r="G359" s="46" t="s">
        <v>404</v>
      </c>
      <c r="H359" s="46"/>
      <c r="I359" s="46"/>
      <c r="J359" s="46" t="s">
        <v>1598</v>
      </c>
      <c r="K359" s="47" t="s">
        <v>1593</v>
      </c>
      <c r="L359" s="52" t="str">
        <f>IF(M359&lt;=0.9,HYPERLINK("http://www.lxhausys.co.kr/popup/rn/download/downloadPopup.jsp?from=plwindow&amp;uu=/upload/window/REPORT/LXH-EA26-009 F-230W-228FFNG1A5.pdf","1등급"),IF(M359&lt;=1.2,HYPERLINK("http://www.lxhausys.co.kr/popup/rn/download/downloadPopup.jsp?from=plwindow&amp;uu=/upload/window/REPORT/LXH-EA26-009 F-230W-228FFNG1A5.pdf","2등급"),IF(M359&lt;=1.8,HYPERLINK("http://www.lxhausys.co.kr/popup/rn/download/downloadPopup.jsp?from=plwindow&amp;uu=/upload/window/REPORT/LXH-EA26-009 F-230W-228FFNG1A5.pdf","3등급"),IF(M359&lt;=2.3,HYPERLINK("http://www.lxhausys.co.kr/popup/rn/download/downloadPopup.jsp?from=plwindow&amp;uu=/upload/window/REPORT/LXH-EA26-009 F-230W-228FFNG1A5.pdf","4등급"),IF(M359&lt;=2.8,HYPERLINK("http://www.lxhausys.co.kr/popup/rn/download/downloadPopup.jsp?from=plwindow&amp;uu=/upload/window/REPORT/LXH-EA26-009 F-230W-228FFNG1A5.pdf","5등급"),HYPERLINK("http://www.lxhausys.co.kr/popup/rn/download/downloadPopup.jsp?from=plwindow&amp;uu=/upload/window/REPORT/LXH-EA26-009 F-230W-228FFNG1A54.pdf","등급외"))))))</f>
        <v>3등급</v>
      </c>
      <c r="M359" s="49">
        <v>1.71</v>
      </c>
      <c r="N359" s="49">
        <v>1.61</v>
      </c>
      <c r="O359" s="46"/>
      <c r="P359" s="46" t="s">
        <v>150</v>
      </c>
      <c r="Q359" s="46" t="s">
        <v>19</v>
      </c>
      <c r="R359" s="46" t="s">
        <v>19</v>
      </c>
      <c r="S359" s="46" t="s">
        <v>19</v>
      </c>
      <c r="T359" s="46" t="s">
        <v>19</v>
      </c>
      <c r="U359" s="46" t="s">
        <v>19</v>
      </c>
      <c r="V359" s="46" t="s">
        <v>19</v>
      </c>
      <c r="W359" s="46" t="s">
        <v>19</v>
      </c>
      <c r="X359" s="46" t="s">
        <v>75</v>
      </c>
    </row>
    <row r="360" spans="1:24">
      <c r="A360" s="46" t="s">
        <v>674</v>
      </c>
      <c r="B360" s="47" t="s">
        <v>1594</v>
      </c>
      <c r="C360" s="46" t="s">
        <v>1578</v>
      </c>
      <c r="D360" s="46" t="s">
        <v>20</v>
      </c>
      <c r="E360" s="47" t="s">
        <v>1505</v>
      </c>
      <c r="F360" s="48"/>
      <c r="G360" s="46" t="s">
        <v>404</v>
      </c>
      <c r="H360" s="46"/>
      <c r="I360" s="46"/>
      <c r="J360" s="46" t="s">
        <v>1598</v>
      </c>
      <c r="K360" s="47" t="s">
        <v>1594</v>
      </c>
      <c r="L360" s="52" t="str">
        <f>IF(M360&lt;=0.9,HYPERLINK("http://www.lxhausys.co.kr/popup/rn/download/downloadPopup.jsp?from=plwindow&amp;uu=/upload/window/REPORT/LXH-EA26-010 F-230W-224FFNG1A5.pdf","1등급"),IF(M360&lt;=1.2,HYPERLINK("http://www.lxhausys.co.kr/popup/rn/download/downloadPopup.jsp?from=plwindow&amp;uu=/upload/window/REPORT/LXH-EA26-010 F-230W-224FFNG1A5.pdf","2등급"),IF(M360&lt;=1.8,HYPERLINK("http://www.lxhausys.co.kr/popup/rn/download/downloadPopup.jsp?from=plwindow&amp;uu=/upload/window/REPORT/LXH-EA26-010 F-230W-224FFNG1A5.pdf","3등급"),IF(M360&lt;=2.3,HYPERLINK("http://www.lxhausys.co.kr/popup/rn/download/downloadPopup.jsp?from=plwindow&amp;uu=/upload/window/REPORT/LXH-EA26-010 F-230W-224FFNG1A5.pdf","4등급"),IF(M360&lt;=2.8,HYPERLINK("http://www.lxhausys.co.kr/popup/rn/download/downloadPopup.jsp?from=plwindow&amp;uu=/upload/window/REPORT/LXH-EA26-010 F-230W-224FFNG1A5.pdf","5등급"),HYPERLINK("http://www.lxhausys.co.kr/popup/rn/download/downloadPopup.jsp?from=plwindow&amp;uu=/upload/window/REPORT/LXH-EA26-010 F-230W-224FFNG1A54.pdf","등급외"))))))</f>
        <v>4등급</v>
      </c>
      <c r="M360" s="49">
        <v>1.8169999999999999</v>
      </c>
      <c r="N360" s="49">
        <v>1.62</v>
      </c>
      <c r="O360" s="46"/>
      <c r="P360" s="46" t="s">
        <v>1510</v>
      </c>
      <c r="Q360" s="46" t="s">
        <v>19</v>
      </c>
      <c r="R360" s="46" t="s">
        <v>19</v>
      </c>
      <c r="S360" s="46" t="s">
        <v>19</v>
      </c>
      <c r="T360" s="46" t="s">
        <v>19</v>
      </c>
      <c r="U360" s="46" t="s">
        <v>19</v>
      </c>
      <c r="V360" s="46" t="s">
        <v>19</v>
      </c>
      <c r="W360" s="46" t="s">
        <v>19</v>
      </c>
      <c r="X360" s="46" t="s">
        <v>75</v>
      </c>
    </row>
    <row r="361" spans="1:24">
      <c r="A361" s="46" t="s">
        <v>674</v>
      </c>
      <c r="B361" s="47" t="s">
        <v>1595</v>
      </c>
      <c r="C361" s="46" t="s">
        <v>1579</v>
      </c>
      <c r="D361" s="46" t="s">
        <v>20</v>
      </c>
      <c r="E361" s="47" t="s">
        <v>1597</v>
      </c>
      <c r="F361" s="48"/>
      <c r="G361" s="46" t="s">
        <v>404</v>
      </c>
      <c r="H361" s="46"/>
      <c r="I361" s="46"/>
      <c r="J361" s="46" t="s">
        <v>1598</v>
      </c>
      <c r="K361" s="47" t="s">
        <v>1595</v>
      </c>
      <c r="L361" s="52" t="str">
        <f>IF(M361&lt;=0.9,HYPERLINK("http://www.lxhausys.co.kr/popup/rn/download/downloadPopup.jsp?from=plwindow&amp;uu=/upload/window/REPORT/LXH-EA26-011 F-230W-228FFNG1R5.pdf","1등급"),IF(M361&lt;=1.2,HYPERLINK("http://www.lxhausys.co.kr/popup/rn/download/downloadPopup.jsp?from=plwindow&amp;uu=/upload/window/REPORT/LXH-EA26-011 F-230W-228FFNG1R5.pdf","2등급"),IF(M361&lt;=1.8,HYPERLINK("http://www.lxhausys.co.kr/popup/rn/download/downloadPopup.jsp?from=plwindow&amp;uu=/upload/window/REPORT/LXH-EA26-011 F-230W-228FFNG1R5.pdf","3등급"),IF(M361&lt;=2.3,HYPERLINK("http://www.lxhausys.co.kr/popup/rn/download/downloadPopup.jsp?from=plwindow&amp;uu=/upload/window/REPORT/LXH-EA26-011 F-230W-228FFNG1R5.pdf","4등급"),IF(M361&lt;=2.8,HYPERLINK("http://www.lxhausys.co.kr/popup/rn/download/downloadPopup.jsp?from=plwindow&amp;uu=/upload/window/REPORT/LXH-EA26-011 F-230W-228FFNG1R5.pdf","5등급"),HYPERLINK("http://www.lxhausys.co.kr/popup/rn/download/downloadPopup.jsp?from=plwindow&amp;uu=/upload/window/REPORT/LXH-EA26-011 F-230W-228FFNG1R54.pdf","등급외"))))))</f>
        <v>3등급</v>
      </c>
      <c r="M361" s="49">
        <v>1.5089999999999999</v>
      </c>
      <c r="N361" s="49">
        <v>1.65</v>
      </c>
      <c r="O361" s="46"/>
      <c r="P361" s="46" t="s">
        <v>150</v>
      </c>
      <c r="Q361" s="46" t="s">
        <v>19</v>
      </c>
      <c r="R361" s="46" t="s">
        <v>19</v>
      </c>
      <c r="S361" s="46" t="s">
        <v>19</v>
      </c>
      <c r="T361" s="46" t="s">
        <v>19</v>
      </c>
      <c r="U361" s="46" t="s">
        <v>19</v>
      </c>
      <c r="V361" s="46" t="s">
        <v>19</v>
      </c>
      <c r="W361" s="46" t="s">
        <v>19</v>
      </c>
      <c r="X361" s="46" t="s">
        <v>75</v>
      </c>
    </row>
    <row r="362" spans="1:24" s="51" customFormat="1">
      <c r="A362" s="46" t="s">
        <v>674</v>
      </c>
      <c r="B362" s="47" t="s">
        <v>1596</v>
      </c>
      <c r="C362" s="46" t="s">
        <v>1580</v>
      </c>
      <c r="D362" s="46" t="s">
        <v>20</v>
      </c>
      <c r="E362" s="47" t="s">
        <v>1506</v>
      </c>
      <c r="F362" s="48"/>
      <c r="G362" s="46" t="s">
        <v>404</v>
      </c>
      <c r="H362" s="46"/>
      <c r="I362" s="46"/>
      <c r="J362" s="46" t="s">
        <v>1598</v>
      </c>
      <c r="K362" s="47" t="s">
        <v>1596</v>
      </c>
      <c r="L362" s="52" t="str">
        <f>IF(M362&lt;=0.9,HYPERLINK("http://www.lxhausys.co.kr/popup/rn/download/downloadPopup.jsp?from=plwindow&amp;uu=/upload/window/REPORT/LXH-EA26-012 F-230W-226FFNG1A5.pdf","1등급"),IF(M362&lt;=1.2,HYPERLINK("http://www.lxhausys.co.kr/popup/rn/download/downloadPopup.jsp?from=plwindow&amp;uu=/upload/window/REPORT/LXH-EA26-012 F-230W-226FFNG1A5.pdf","2등급"),IF(M362&lt;=1.8,HYPERLINK("http://www.lxhausys.co.kr/popup/rn/download/downloadPopup.jsp?from=plwindow&amp;uu=/upload/window/REPORT/LXH-EA26-012 F-230W-226FFNG1A5.pdf","3등급"),IF(M362&lt;=2.3,HYPERLINK("http://www.lxhausys.co.kr/popup/rn/download/downloadPopup.jsp?from=plwindow&amp;uu=/upload/window/REPORT/LXH-EA26-012 F-230W-226FFNG1A5.pdf","4등급"),IF(M362&lt;=2.8,HYPERLINK("http://www.lxhausys.co.kr/popup/rn/download/downloadPopup.jsp?from=plwindow&amp;uu=/upload/window/REPORT/LXH-EA26-012 F-230W-226FFNG1A5.pdf","5등급"),HYPERLINK("http://www.lxhausys.co.kr/popup/rn/download/downloadPopup.jsp?from=plwindow&amp;uu=/upload/window/REPORT/LXH-EA26-012 F-230W-226FFNG1A54.pdf","등급외"))))))</f>
        <v>3등급</v>
      </c>
      <c r="M362" s="49">
        <v>1.734</v>
      </c>
      <c r="N362" s="49">
        <v>1.62</v>
      </c>
      <c r="O362" s="46"/>
      <c r="P362" s="46" t="s">
        <v>150</v>
      </c>
      <c r="Q362" s="46" t="s">
        <v>19</v>
      </c>
      <c r="R362" s="46" t="s">
        <v>19</v>
      </c>
      <c r="S362" s="46" t="s">
        <v>19</v>
      </c>
      <c r="T362" s="46" t="s">
        <v>19</v>
      </c>
      <c r="U362" s="46" t="s">
        <v>19</v>
      </c>
      <c r="V362" s="46" t="s">
        <v>19</v>
      </c>
      <c r="W362" s="46" t="s">
        <v>19</v>
      </c>
      <c r="X362" s="46" t="s">
        <v>75</v>
      </c>
    </row>
    <row r="363" spans="1:24" s="51" customFormat="1">
      <c r="A363" s="46" t="s">
        <v>676</v>
      </c>
      <c r="B363" s="47" t="s">
        <v>1601</v>
      </c>
      <c r="C363" s="46" t="s">
        <v>1628</v>
      </c>
      <c r="D363" s="46" t="s">
        <v>20</v>
      </c>
      <c r="E363" s="47" t="s">
        <v>1629</v>
      </c>
      <c r="F363" s="48" t="s">
        <v>1630</v>
      </c>
      <c r="G363" s="47" t="s">
        <v>404</v>
      </c>
      <c r="H363" s="46"/>
      <c r="I363" s="46"/>
      <c r="J363" s="46" t="s">
        <v>1410</v>
      </c>
      <c r="K363" s="47" t="s">
        <v>1601</v>
      </c>
      <c r="L363" s="52" t="str">
        <f>IF(M363&lt;=0.9,HYPERLINK("http://www.lxhausys.co.kr/popup/rn/download/downloadPopup.jsp?from=plwindow&amp;uu=/upload/window/REPORT/LXH-EA26-013 F-265-466KGKG2A5.pdf","1등급"),IF(M363&lt;=1.2,HYPERLINK("http://www.lxhausys.co.kr/popup/rn/download/downloadPopup.jsp?from=plwindow&amp;uu=/upload/window/REPORT/LXH-EA26-013 F-265-466KGKG2A5.pdf","2등급"),IF(M363&lt;=1.8,HYPERLINK("http://www.lxhausys.co.kr/popup/rn/download/downloadPopup.jsp?from=plwindow&amp;uu=/upload/window/REPORT/LXH-EA26-013 F-265-466KGKG2A5.pdf","3등급"),IF(M363&lt;=2.3,HYPERLINK("http://www.lxhausys.co.kr/popup/rn/download/downloadPopup.jsp?from=plwindow&amp;uu=/upload/window/REPORT/LXH-EA26-013 F-265-466KGKG2A5.pdf","4등급"),IF(M363&lt;=2.8,HYPERLINK("http://www.lxhausys.co.kr/popup/rn/download/downloadPopup.jsp?from=plwindow&amp;uu=/upload/window/REPORT/LXH-EA26-013 F-265-466KGKG2A5.pdf","5등급"),HYPERLINK("http://www.lxhausys.co.kr/popup/rn/download/downloadPopup.jsp?from=plwindow&amp;uu=/upload/window/REPORT/LXH-EA26-013 F-265-466KGKG2A54.pdf","등급외"))))))</f>
        <v>1등급</v>
      </c>
      <c r="M363" s="49">
        <v>0.65700000000000003</v>
      </c>
      <c r="N363" s="49">
        <v>0.8</v>
      </c>
      <c r="O363" s="46"/>
      <c r="P363" s="46" t="s">
        <v>22</v>
      </c>
      <c r="Q363" s="46" t="s">
        <v>19</v>
      </c>
      <c r="R363" s="46" t="s">
        <v>19</v>
      </c>
      <c r="S363" s="46" t="s">
        <v>19</v>
      </c>
      <c r="T363" s="46" t="s">
        <v>19</v>
      </c>
      <c r="U363" s="46" t="s">
        <v>19</v>
      </c>
      <c r="V363" s="46" t="s">
        <v>19</v>
      </c>
      <c r="W363" s="46" t="s">
        <v>19</v>
      </c>
      <c r="X363" s="46" t="s">
        <v>75</v>
      </c>
    </row>
    <row r="364" spans="1:24" s="51" customFormat="1">
      <c r="A364" s="46" t="s">
        <v>1603</v>
      </c>
      <c r="B364" s="47" t="s">
        <v>1604</v>
      </c>
      <c r="C364" s="46" t="s">
        <v>1602</v>
      </c>
      <c r="D364" s="46" t="s">
        <v>20</v>
      </c>
      <c r="E364" s="47" t="s">
        <v>1562</v>
      </c>
      <c r="F364" s="48" t="s">
        <v>1470</v>
      </c>
      <c r="G364" s="47" t="s">
        <v>404</v>
      </c>
      <c r="H364" s="46"/>
      <c r="I364" s="46"/>
      <c r="J364" s="46" t="s">
        <v>1452</v>
      </c>
      <c r="K364" s="47" t="s">
        <v>1604</v>
      </c>
      <c r="L364" s="52" t="str">
        <f>IF(M364&lt;=0.9,HYPERLINK("http://www.lxhausys.co.kr/popup/rn/download/downloadPopup.jsp?from=plwindow&amp;uu=/upload/window/REPORT/LGH-TW17-005 F-235IS-444GGGG2A5.pdf","1등급"),IF(M364&lt;=1.2,HYPERLINK("http://www.lxhausys.co.kr/popup/rn/download/downloadPopup.jsp?from=plwindow&amp;uu=/upload/window/REPORT/LGH-TW17-005 F-235IS-444GGGG2A5.pdf","2등급"),IF(M364&lt;=1.8,HYPERLINK("http://www.lxhausys.co.kr/popup/rn/download/downloadPopup.jsp?from=plwindow&amp;uu=/upload/window/REPORT/LGH-TW17-005 F-235IS-444GGGG2A5.pdf","3등급"),IF(M364&lt;=2.3,HYPERLINK("http://www.lxhausys.co.kr/popup/rn/download/downloadPopup.jsp?from=plwindow&amp;uu=/upload/window/REPORT/LGH-TW17-005 F-235IS-444GGGG2A5.pdf","4등급"),IF(M364&lt;=2.8,HYPERLINK("http://www.lxhausys.co.kr/popup/rn/download/downloadPopup.jsp?from=plwindow&amp;uu=/upload/window/REPORT/LGH-TW17-005 F-235IS-444GGGG2A5.pdf","5등급"),HYPERLINK("http://www.lxhausys.co.kr/popup/rn/download/downloadPopup.jsp?from=plwindow&amp;uu=/upload/window/REPORT/LGH-TW17-005 F-235IS-444GGGG2A54.pdf","등급외"))))))</f>
        <v>3등급</v>
      </c>
      <c r="M364" s="49">
        <v>1.276</v>
      </c>
      <c r="N364" s="49">
        <v>0.81</v>
      </c>
      <c r="O364" s="46"/>
      <c r="P364" s="46" t="s">
        <v>150</v>
      </c>
      <c r="Q364" s="46" t="s">
        <v>19</v>
      </c>
      <c r="R364" s="46" t="s">
        <v>19</v>
      </c>
      <c r="S364" s="46" t="s">
        <v>19</v>
      </c>
      <c r="T364" s="46" t="s">
        <v>19</v>
      </c>
      <c r="U364" s="46" t="s">
        <v>19</v>
      </c>
      <c r="V364" s="46" t="s">
        <v>19</v>
      </c>
      <c r="W364" s="46" t="s">
        <v>19</v>
      </c>
      <c r="X364" s="46" t="s">
        <v>75</v>
      </c>
    </row>
    <row r="365" spans="1:24" s="51" customFormat="1">
      <c r="A365" s="46" t="s">
        <v>1603</v>
      </c>
      <c r="B365" s="47" t="s">
        <v>1605</v>
      </c>
      <c r="C365" s="46" t="s">
        <v>1642</v>
      </c>
      <c r="D365" s="46" t="s">
        <v>20</v>
      </c>
      <c r="E365" s="47" t="s">
        <v>1562</v>
      </c>
      <c r="F365" s="48" t="s">
        <v>1631</v>
      </c>
      <c r="G365" s="47" t="s">
        <v>404</v>
      </c>
      <c r="H365" s="46"/>
      <c r="I365" s="46"/>
      <c r="J365" s="46" t="s">
        <v>1598</v>
      </c>
      <c r="K365" s="47" t="s">
        <v>1605</v>
      </c>
      <c r="L365" s="52" t="str">
        <f>IF(M365&lt;=0.9,HYPERLINK("http://www.lxhausys.co.kr/popup/rn/download/downloadPopup.jsp?from=plwindow&amp;uu=/upload/window/REPORT/LGH-TW17-004 F-235IS-444GGGE2A5.pdf","1등급"),IF(M365&lt;=1.2,HYPERLINK("http://www.lxhausys.co.kr/popup/rn/download/downloadPopup.jsp?from=plwindow&amp;uu=/upload/window/REPORT/LGH-TW17-004 F-235IS-444GGGE2A5.pdf","2등급"),IF(M365&lt;=1.8,HYPERLINK("http://www.lxhausys.co.kr/popup/rn/download/downloadPopup.jsp?from=plwindow&amp;uu=/upload/window/REPORT/LGH-TW17-004 F-235IS-444GGGE2A5.pdf","3등급"),IF(M365&lt;=2.3,HYPERLINK("http://www.lxhausys.co.kr/popup/rn/download/downloadPopup.jsp?from=plwindow&amp;uu=/upload/window/REPORT/LGH-TW17-004 F-235IS-444GGGE2A5.pdf","4등급"),IF(M365&lt;=2.8,HYPERLINK("http://www.lxhausys.co.kr/popup/rn/download/downloadPopup.jsp?from=plwindow&amp;uu=/upload/window/REPORT/LGH-TW17-004 F-235IS-444GGGE2A5.pdf","5등급"),HYPERLINK("http://www.lxhausys.co.kr/popup/rn/download/downloadPopup.jsp?from=plwindow&amp;uu=/upload/window/REPORT/LGH-TW17-004 F-235IS-444GGGE2A54.pdf","등급외"))))))</f>
        <v>2등급</v>
      </c>
      <c r="M365" s="49">
        <v>0.98799999999999999</v>
      </c>
      <c r="N365" s="49">
        <v>0.88</v>
      </c>
      <c r="O365" s="46"/>
      <c r="P365" s="46" t="s">
        <v>103</v>
      </c>
      <c r="Q365" s="46" t="s">
        <v>19</v>
      </c>
      <c r="R365" s="46" t="s">
        <v>19</v>
      </c>
      <c r="S365" s="46" t="s">
        <v>19</v>
      </c>
      <c r="T365" s="46" t="s">
        <v>19</v>
      </c>
      <c r="U365" s="46" t="s">
        <v>19</v>
      </c>
      <c r="V365" s="46" t="s">
        <v>19</v>
      </c>
      <c r="W365" s="46" t="s">
        <v>19</v>
      </c>
      <c r="X365" s="46" t="s">
        <v>75</v>
      </c>
    </row>
    <row r="366" spans="1:24" s="51" customFormat="1">
      <c r="A366" s="46" t="s">
        <v>1603</v>
      </c>
      <c r="B366" s="47" t="s">
        <v>1606</v>
      </c>
      <c r="C366" s="46" t="s">
        <v>1640</v>
      </c>
      <c r="D366" s="46" t="s">
        <v>20</v>
      </c>
      <c r="E366" s="47" t="s">
        <v>1449</v>
      </c>
      <c r="F366" s="48" t="s">
        <v>1450</v>
      </c>
      <c r="G366" s="47" t="s">
        <v>404</v>
      </c>
      <c r="H366" s="46"/>
      <c r="I366" s="46"/>
      <c r="J366" s="46" t="s">
        <v>1452</v>
      </c>
      <c r="K366" s="47" t="s">
        <v>1606</v>
      </c>
      <c r="L366" s="52" t="str">
        <f>IF(M366&lt;=0.9,HYPERLINK("http://www.lxhausys.co.kr/popup/rn/download/downloadPopup.jsp?from=plwindow&amp;uu=/upload/window/REPORT/LGH-TW17-003 F-235IS-422GGGG2A5.pdf","1등급"),IF(M366&lt;=1.2,HYPERLINK("http://www.lxhausys.co.kr/popup/rn/download/downloadPopup.jsp?from=plwindow&amp;uu=/upload/window/REPORT/LGH-TW17-003 F-235IS-422GGGG2A5.pdf","2등급"),IF(M366&lt;=1.8,HYPERLINK("http://www.lxhausys.co.kr/popup/rn/download/downloadPopup.jsp?from=plwindow&amp;uu=/upload/window/REPORT/LGH-TW17-003 F-235IS-422GGGG2A5.pdf","3등급"),IF(M366&lt;=2.3,HYPERLINK("http://www.lxhausys.co.kr/popup/rn/download/downloadPopup.jsp?from=plwindow&amp;uu=/upload/window/REPORT/LGH-TW17-003 F-235IS-422GGGG2A5.pdf","4등급"),IF(M366&lt;=2.8,HYPERLINK("http://www.lxhausys.co.kr/popup/rn/download/downloadPopup.jsp?from=plwindow&amp;uu=/upload/window/REPORT/LGH-TW17-003 F-235IS-422GGGG2A5.pdf","5등급"),HYPERLINK("http://www.lxhausys.co.kr/popup/rn/download/downloadPopup.jsp?from=plwindow&amp;uu=/upload/window/REPORT/LGH-TW17-003 F-235IS-422GGGG2A54.pdf","등급외"))))))</f>
        <v>3등급</v>
      </c>
      <c r="M366" s="49">
        <v>1.33</v>
      </c>
      <c r="N366" s="49">
        <v>0.83</v>
      </c>
      <c r="O366" s="46"/>
      <c r="P366" s="46" t="s">
        <v>150</v>
      </c>
      <c r="Q366" s="46" t="s">
        <v>19</v>
      </c>
      <c r="R366" s="46" t="s">
        <v>19</v>
      </c>
      <c r="S366" s="46" t="s">
        <v>19</v>
      </c>
      <c r="T366" s="46" t="s">
        <v>19</v>
      </c>
      <c r="U366" s="46" t="s">
        <v>19</v>
      </c>
      <c r="V366" s="46" t="s">
        <v>19</v>
      </c>
      <c r="W366" s="46" t="s">
        <v>19</v>
      </c>
      <c r="X366" s="46" t="s">
        <v>75</v>
      </c>
    </row>
    <row r="367" spans="1:24" s="51" customFormat="1">
      <c r="A367" s="46" t="s">
        <v>1603</v>
      </c>
      <c r="B367" s="47" t="s">
        <v>1607</v>
      </c>
      <c r="C367" s="46" t="s">
        <v>1639</v>
      </c>
      <c r="D367" s="46" t="s">
        <v>20</v>
      </c>
      <c r="E367" s="47" t="s">
        <v>1449</v>
      </c>
      <c r="F367" s="48" t="s">
        <v>1451</v>
      </c>
      <c r="G367" s="47" t="s">
        <v>404</v>
      </c>
      <c r="H367" s="46"/>
      <c r="I367" s="46"/>
      <c r="J367" s="46" t="s">
        <v>1598</v>
      </c>
      <c r="K367" s="47" t="s">
        <v>1607</v>
      </c>
      <c r="L367" s="52" t="str">
        <f>IF(M367&lt;=0.9,HYPERLINK("http://www.lxhausys.co.kr/popup/rn/download/downloadPopup.jsp?from=plwindow&amp;uu=/upload/window/REPORT/LGH-TW17-002 F-235IS-422GGGE2A5.pdf","1등급"),IF(M367&lt;=1.2,HYPERLINK("http://www.lxhausys.co.kr/popup/rn/download/downloadPopup.jsp?from=plwindow&amp;uu=/upload/window/REPORT/LGH-TW17-002 F-235IS-422GGGE2A5.pdf","2등급"),IF(M367&lt;=1.8,HYPERLINK("http://www.lxhausys.co.kr/popup/rn/download/downloadPopup.jsp?from=plwindow&amp;uu=/upload/window/REPORT/LGH-TW17-002 F-235IS-422GGGE2A5.pdf","3등급"),IF(M367&lt;=2.3,HYPERLINK("http://www.lxhausys.co.kr/popup/rn/download/downloadPopup.jsp?from=plwindow&amp;uu=/upload/window/REPORT/LGH-TW17-002 F-235IS-422GGGE2A5.pdf","4등급"),IF(M367&lt;=2.8,HYPERLINK("http://www.lxhausys.co.kr/popup/rn/download/downloadPopup.jsp?from=plwindow&amp;uu=/upload/window/REPORT/LGH-TW17-002 F-235IS-422GGGE2A5.pdf","5등급"),HYPERLINK("http://www.lxhausys.co.kr/popup/rn/download/downloadPopup.jsp?from=plwindow&amp;uu=/upload/window/REPORT/LGH-TW17-002 F-235IS-422GGGE2A54.pdf","등급외"))))))</f>
        <v>2등급</v>
      </c>
      <c r="M367" s="49">
        <v>1.03</v>
      </c>
      <c r="N367" s="49">
        <v>0.79</v>
      </c>
      <c r="O367" s="46"/>
      <c r="P367" s="46" t="s">
        <v>103</v>
      </c>
      <c r="Q367" s="46" t="s">
        <v>19</v>
      </c>
      <c r="R367" s="46" t="s">
        <v>19</v>
      </c>
      <c r="S367" s="46" t="s">
        <v>19</v>
      </c>
      <c r="T367" s="46" t="s">
        <v>19</v>
      </c>
      <c r="U367" s="46" t="s">
        <v>19</v>
      </c>
      <c r="V367" s="46" t="s">
        <v>19</v>
      </c>
      <c r="W367" s="46" t="s">
        <v>19</v>
      </c>
      <c r="X367" s="46" t="s">
        <v>75</v>
      </c>
    </row>
    <row r="368" spans="1:24" s="51" customFormat="1">
      <c r="A368" s="46" t="s">
        <v>1603</v>
      </c>
      <c r="B368" s="47" t="s">
        <v>1608</v>
      </c>
      <c r="C368" s="46" t="s">
        <v>1638</v>
      </c>
      <c r="D368" s="46" t="s">
        <v>20</v>
      </c>
      <c r="E368" s="47" t="s">
        <v>1449</v>
      </c>
      <c r="F368" s="48" t="s">
        <v>1632</v>
      </c>
      <c r="G368" s="47" t="s">
        <v>404</v>
      </c>
      <c r="H368" s="46"/>
      <c r="I368" s="46"/>
      <c r="J368" s="46" t="s">
        <v>1598</v>
      </c>
      <c r="K368" s="47" t="s">
        <v>1608</v>
      </c>
      <c r="L368" s="52" t="str">
        <f>IF(M368&lt;=0.9,HYPERLINK("http://www.lxhausys.co.kr/popup/rn/download/downloadPopup.jsp?from=plwindow&amp;uu=/upload/window/REPORT/LGH-TW17-001 F-235IS-422GGGE1R5.pdf","1등급"),IF(M368&lt;=1.2,HYPERLINK("http://www.lxhausys.co.kr/popup/rn/download/downloadPopup.jsp?from=plwindow&amp;uu=/upload/window/REPORT/LGH-TW17-001 F-235IS-422GGGE1R5.pdf","2등급"),IF(M368&lt;=1.8,HYPERLINK("http://www.lxhausys.co.kr/popup/rn/download/downloadPopup.jsp?from=plwindow&amp;uu=/upload/window/REPORT/LGH-TW17-001 F-235IS-422GGGE1R5.pdf","3등급"),IF(M368&lt;=2.3,HYPERLINK("http://www.lxhausys.co.kr/popup/rn/download/downloadPopup.jsp?from=plwindow&amp;uu=/upload/window/REPORT/LGH-TW17-001 F-235IS-422GGGE1R5.pdf","4등급"),IF(M368&lt;=2.8,HYPERLINK("http://www.lxhausys.co.kr/popup/rn/download/downloadPopup.jsp?from=plwindow&amp;uu=/upload/window/REPORT/LGH-TW17-001 F-235IS-422GGGE1R5.pdf","5등급"),HYPERLINK("http://www.lxhausys.co.kr/popup/rn/download/downloadPopup.jsp?from=plwindow&amp;uu=/upload/window/REPORT/LGH-TW17-001 F-235IS-422GGGE1R54.pdf","등급외"))))))</f>
        <v>2등급</v>
      </c>
      <c r="M368" s="49">
        <v>0.92100000000000004</v>
      </c>
      <c r="N368" s="49">
        <v>0.84</v>
      </c>
      <c r="O368" s="46"/>
      <c r="P368" s="46" t="s">
        <v>103</v>
      </c>
      <c r="Q368" s="46" t="s">
        <v>19</v>
      </c>
      <c r="R368" s="46" t="s">
        <v>19</v>
      </c>
      <c r="S368" s="46" t="s">
        <v>19</v>
      </c>
      <c r="T368" s="46" t="s">
        <v>19</v>
      </c>
      <c r="U368" s="46" t="s">
        <v>19</v>
      </c>
      <c r="V368" s="46" t="s">
        <v>19</v>
      </c>
      <c r="W368" s="46" t="s">
        <v>19</v>
      </c>
      <c r="X368" s="46" t="s">
        <v>75</v>
      </c>
    </row>
    <row r="369" spans="1:24" s="51" customFormat="1">
      <c r="A369" s="46" t="s">
        <v>1603</v>
      </c>
      <c r="B369" s="47" t="s">
        <v>1609</v>
      </c>
      <c r="C369" s="46" t="s">
        <v>1641</v>
      </c>
      <c r="D369" s="46" t="s">
        <v>20</v>
      </c>
      <c r="E369" s="47" t="s">
        <v>1633</v>
      </c>
      <c r="F369" s="48" t="s">
        <v>1451</v>
      </c>
      <c r="G369" s="47" t="s">
        <v>404</v>
      </c>
      <c r="H369" s="46"/>
      <c r="I369" s="46"/>
      <c r="J369" s="46" t="s">
        <v>1452</v>
      </c>
      <c r="K369" s="47" t="s">
        <v>1609</v>
      </c>
      <c r="L369" s="52" t="str">
        <f>IF(M369&lt;=0.9,HYPERLINK("http://www.lxhausys.co.kr/popup/rn/download/downloadPopup.jsp?from=plwindow&amp;uu=/upload/window/REPORT/LGH-TW21-044 F-235IS-422GLGL2A5.pdf","1등급"),IF(M369&lt;=1.2,HYPERLINK("http://www.lxhausys.co.kr/popup/rn/download/downloadPopup.jsp?from=plwindow&amp;uu=/upload/window/REPORT/LGH-TW21-044 F-235IS-422GLGL2A5.pdf","2등급"),IF(M369&lt;=1.8,HYPERLINK("http://www.lxhausys.co.kr/popup/rn/download/downloadPopup.jsp?from=plwindow&amp;uu=/upload/window/REPORT/LGH-TW21-044 F-235IS-422GLGL2A5.pdf","3등급"),IF(M369&lt;=2.3,HYPERLINK("http://www.lxhausys.co.kr/popup/rn/download/downloadPopup.jsp?from=plwindow&amp;uu=/upload/window/REPORT/LGH-TW21-044 F-235IS-422GLGL2A5.pdf","4등급"),IF(M369&lt;=2.8,HYPERLINK("http://www.lxhausys.co.kr/popup/rn/download/downloadPopup.jsp?from=plwindow&amp;uu=/upload/window/REPORT/LGH-TW21-044 F-235IS-422GLGL2A5.pdf","5등급"),HYPERLINK("http://www.lxhausys.co.kr/popup/rn/download/downloadPopup.jsp?from=plwindow&amp;uu=/upload/window/REPORT/LGH-TW21-044 F-235IS-422GLGL2A54.pdf","등급외"))))))</f>
        <v>1등급</v>
      </c>
      <c r="M369" s="49">
        <v>0.88800000000000001</v>
      </c>
      <c r="N369" s="49">
        <v>0.75</v>
      </c>
      <c r="O369" s="46"/>
      <c r="P369" s="46" t="s">
        <v>22</v>
      </c>
      <c r="Q369" s="46" t="s">
        <v>19</v>
      </c>
      <c r="R369" s="46" t="s">
        <v>19</v>
      </c>
      <c r="S369" s="46" t="s">
        <v>19</v>
      </c>
      <c r="T369" s="46" t="s">
        <v>19</v>
      </c>
      <c r="U369" s="46" t="s">
        <v>19</v>
      </c>
      <c r="V369" s="46" t="s">
        <v>19</v>
      </c>
      <c r="W369" s="46" t="s">
        <v>19</v>
      </c>
      <c r="X369" s="46" t="s">
        <v>75</v>
      </c>
    </row>
    <row r="370" spans="1:24" s="51" customFormat="1">
      <c r="A370" s="46" t="s">
        <v>1610</v>
      </c>
      <c r="B370" s="47" t="s">
        <v>1611</v>
      </c>
      <c r="C370" s="46" t="s">
        <v>1643</v>
      </c>
      <c r="D370" s="46" t="s">
        <v>20</v>
      </c>
      <c r="E370" s="47" t="s">
        <v>1634</v>
      </c>
      <c r="F370" s="48" t="s">
        <v>1635</v>
      </c>
      <c r="G370" s="47" t="s">
        <v>404</v>
      </c>
      <c r="H370" s="46"/>
      <c r="I370" s="46"/>
      <c r="J370" s="46" t="s">
        <v>1452</v>
      </c>
      <c r="K370" s="47" t="s">
        <v>1611</v>
      </c>
      <c r="L370" s="52" t="str">
        <f>IF(M370&lt;=0.9,HYPERLINK("http://www.lxhausys.co.kr/popup/rn/download/downloadPopup.jsp?from=plwindow&amp;uu=/upload/window/REPORT/LGH-TW19-045 F-235I-422GSGS2A5.pdf","1등급"),IF(M370&lt;=1.2,HYPERLINK("http://www.lxhausys.co.kr/popup/rn/download/downloadPopup.jsp?from=plwindow&amp;uu=/upload/window/REPORT/LGH-TW19-045 F-235I-422GSGS2A5.pdf","2등급"),IF(M370&lt;=1.8,HYPERLINK("http://www.lxhausys.co.kr/popup/rn/download/downloadPopup.jsp?from=plwindow&amp;uu=/upload/window/REPORT/LGH-TW19-045 F-235I-422GSGS2A5.pdf","3등급"),IF(M370&lt;=2.3,HYPERLINK("http://www.lxhausys.co.kr/popup/rn/download/downloadPopup.jsp?from=plwindow&amp;uu=/upload/window/REPORT/LGH-TW19-045 F-235I-422GSGS2A5.pdf","4등급"),IF(M370&lt;=2.8,HYPERLINK("http://www.lxhausys.co.kr/popup/rn/download/downloadPopup.jsp?from=plwindow&amp;uu=/upload/window/REPORT/LGH-TW19-045 F-235I-422GSGS2A5.pdf","5등급"),HYPERLINK("http://www.lxhausys.co.kr/popup/rn/download/downloadPopup.jsp?from=plwindow&amp;uu=/upload/window/REPORT/LGH-TW19-045 F-235I-422GSGS2A54.pdf","등급외"))))))</f>
        <v>1등급</v>
      </c>
      <c r="M370" s="49">
        <v>0.83499999999999996</v>
      </c>
      <c r="N370" s="49">
        <v>0.79</v>
      </c>
      <c r="O370" s="46"/>
      <c r="P370" s="46" t="s">
        <v>22</v>
      </c>
      <c r="Q370" s="46" t="s">
        <v>19</v>
      </c>
      <c r="R370" s="46" t="s">
        <v>19</v>
      </c>
      <c r="S370" s="46" t="s">
        <v>19</v>
      </c>
      <c r="T370" s="46" t="s">
        <v>19</v>
      </c>
      <c r="U370" s="46" t="s">
        <v>19</v>
      </c>
      <c r="V370" s="46" t="s">
        <v>19</v>
      </c>
      <c r="W370" s="46" t="s">
        <v>19</v>
      </c>
      <c r="X370" s="46" t="s">
        <v>75</v>
      </c>
    </row>
    <row r="371" spans="1:24" s="51" customFormat="1">
      <c r="A371" s="46" t="s">
        <v>1610</v>
      </c>
      <c r="B371" s="47" t="s">
        <v>1612</v>
      </c>
      <c r="C371" s="46" t="s">
        <v>1644</v>
      </c>
      <c r="D371" s="46" t="s">
        <v>20</v>
      </c>
      <c r="E371" s="47" t="s">
        <v>1562</v>
      </c>
      <c r="F371" s="48" t="s">
        <v>1636</v>
      </c>
      <c r="G371" s="47" t="s">
        <v>404</v>
      </c>
      <c r="H371" s="46"/>
      <c r="I371" s="46"/>
      <c r="J371" s="46" t="s">
        <v>1452</v>
      </c>
      <c r="K371" s="47" t="s">
        <v>1612</v>
      </c>
      <c r="L371" s="52" t="str">
        <f>IF(M371&lt;=0.9,HYPERLINK("http://www.lxhausys.co.kr/popup/rn/download/downloadPopup.jsp?from=plwindow&amp;uu=/upload/window/REPORT/LGH-TW19-046 F-235I-444GGGS2A5.pdf","1등급"),IF(M371&lt;=1.2,HYPERLINK("http://www.lxhausys.co.kr/popup/rn/download/downloadPopup.jsp?from=plwindow&amp;uu=/upload/window/REPORT/LGH-TW19-046 F-235I-444GGGS2A5.pdf","2등급"),IF(M371&lt;=1.8,HYPERLINK("http://www.lxhausys.co.kr/popup/rn/download/downloadPopup.jsp?from=plwindow&amp;uu=/upload/window/REPORT/LGH-TW19-046 F-235I-444GGGS2A5.pdf","3등급"),IF(M371&lt;=2.3,HYPERLINK("http://www.lxhausys.co.kr/popup/rn/download/downloadPopup.jsp?from=plwindow&amp;uu=/upload/window/REPORT/LGH-TW19-046 F-235I-444GGGS2A5.pdf","4등급"),IF(M371&lt;=2.8,HYPERLINK("http://www.lxhausys.co.kr/popup/rn/download/downloadPopup.jsp?from=plwindow&amp;uu=/upload/window/REPORT/LGH-TW19-046 F-235I-444GGGS2A5.pdf","5등급"),HYPERLINK("http://www.lxhausys.co.kr/popup/rn/download/downloadPopup.jsp?from=plwindow&amp;uu=/upload/window/REPORT/LGH-TW19-046 F-235I-444GGGS2A54.pdf","등급외"))))))</f>
        <v>2등급</v>
      </c>
      <c r="M371" s="49">
        <v>0.94399999999999995</v>
      </c>
      <c r="N371" s="49">
        <v>0.78</v>
      </c>
      <c r="O371" s="46"/>
      <c r="P371" s="46" t="s">
        <v>103</v>
      </c>
      <c r="Q371" s="46" t="s">
        <v>19</v>
      </c>
      <c r="R371" s="46" t="s">
        <v>19</v>
      </c>
      <c r="S371" s="46" t="s">
        <v>19</v>
      </c>
      <c r="T371" s="46" t="s">
        <v>19</v>
      </c>
      <c r="U371" s="46" t="s">
        <v>19</v>
      </c>
      <c r="V371" s="46" t="s">
        <v>19</v>
      </c>
      <c r="W371" s="46" t="s">
        <v>19</v>
      </c>
      <c r="X371" s="46" t="s">
        <v>75</v>
      </c>
    </row>
    <row r="372" spans="1:24" s="51" customFormat="1">
      <c r="A372" s="46" t="s">
        <v>1610</v>
      </c>
      <c r="B372" s="47" t="s">
        <v>1613</v>
      </c>
      <c r="C372" s="46" t="s">
        <v>1645</v>
      </c>
      <c r="D372" s="46" t="s">
        <v>20</v>
      </c>
      <c r="E372" s="47" t="s">
        <v>1637</v>
      </c>
      <c r="F372" s="48" t="s">
        <v>1636</v>
      </c>
      <c r="G372" s="47" t="s">
        <v>404</v>
      </c>
      <c r="H372" s="46"/>
      <c r="I372" s="46"/>
      <c r="J372" s="46" t="s">
        <v>1452</v>
      </c>
      <c r="K372" s="47" t="s">
        <v>1613</v>
      </c>
      <c r="L372" s="52" t="str">
        <f>IF(M372&lt;=0.9,HYPERLINK("http://www.lxhausys.co.kr/popup/rn/download/downloadPopup.jsp?from=plwindow&amp;uu=/upload/window/REPORT/LGH-TW19-067 F-235I-444GSGS2A5.pdf","1등급"),IF(M372&lt;=1.2,HYPERLINK("http://www.lxhausys.co.kr/popup/rn/download/downloadPopup.jsp?from=plwindow&amp;uu=/upload/window/REPORT/LGH-TW19-067 F-235I-444GSGS2A5.pdf","2등급"),IF(M372&lt;=1.8,HYPERLINK("http://www.lxhausys.co.kr/popup/rn/download/downloadPopup.jsp?from=plwindow&amp;uu=/upload/window/REPORT/LGH-TW19-067 F-235I-444GSGS2A5.pdf","3등급"),IF(M372&lt;=2.3,HYPERLINK("http://www.lxhausys.co.kr/popup/rn/download/downloadPopup.jsp?from=plwindow&amp;uu=/upload/window/REPORT/LGH-TW19-067 F-235I-444GSGS2A5.pdf","4등급"),IF(M372&lt;=2.8,HYPERLINK("http://www.lxhausys.co.kr/popup/rn/download/downloadPopup.jsp?from=plwindow&amp;uu=/upload/window/REPORT/LGH-TW19-067 F-235I-444GSGS2A5.pdf","5등급"),HYPERLINK("http://www.lxhausys.co.kr/popup/rn/download/downloadPopup.jsp?from=plwindow&amp;uu=/upload/window/REPORT/LGH-TW19-067 F-235I-444GSGS2A54.pdf","등급외"))))))</f>
        <v>1등급</v>
      </c>
      <c r="M372" s="49">
        <v>0.755</v>
      </c>
      <c r="N372" s="49">
        <v>0.755</v>
      </c>
      <c r="O372" s="46"/>
      <c r="P372" s="46" t="s">
        <v>22</v>
      </c>
      <c r="Q372" s="46" t="s">
        <v>19</v>
      </c>
      <c r="R372" s="46" t="s">
        <v>19</v>
      </c>
      <c r="S372" s="46" t="s">
        <v>19</v>
      </c>
      <c r="T372" s="46" t="s">
        <v>19</v>
      </c>
      <c r="U372" s="46" t="s">
        <v>19</v>
      </c>
      <c r="V372" s="46" t="s">
        <v>19</v>
      </c>
      <c r="W372" s="46" t="s">
        <v>19</v>
      </c>
      <c r="X372" s="46" t="s">
        <v>75</v>
      </c>
    </row>
    <row r="373" spans="1:24" s="51" customFormat="1">
      <c r="A373" s="46" t="s">
        <v>680</v>
      </c>
      <c r="B373" s="47" t="s">
        <v>1615</v>
      </c>
      <c r="C373" s="46" t="s">
        <v>1614</v>
      </c>
      <c r="D373" s="46" t="s">
        <v>20</v>
      </c>
      <c r="E373" s="47" t="s">
        <v>718</v>
      </c>
      <c r="F373" s="48"/>
      <c r="G373" s="47" t="s">
        <v>404</v>
      </c>
      <c r="H373" s="46"/>
      <c r="I373" s="46"/>
      <c r="J373" s="46" t="s">
        <v>1598</v>
      </c>
      <c r="K373" s="47" t="s">
        <v>1615</v>
      </c>
      <c r="L373" s="52" t="str">
        <f>IF(M373&lt;=0.9,HYPERLINK("http://www.lxhausys.co.kr/popup/rn/download/downloadPopup.jsp?from=plwindow&amp;uu=/upload/window/REPORT/LXH-EA26-018 F-230WS-226FFGS1R5-1.pdf","1등급"),IF(M373&lt;=1.2,HYPERLINK("http://www.lxhausys.co.kr/popup/rn/download/downloadPopup.jsp?from=plwindow&amp;uu=/upload/window/REPORT/LXH-EA26-018 F-230WS-226FFGS1R5-1.pdf","2등급"),IF(M373&lt;=1.8,HYPERLINK("http://www.lxhausys.co.kr/popup/rn/download/downloadPopup.jsp?from=plwindow&amp;uu=/upload/window/REPORT/LXH-EA26-018 F-230WS-226FFGS1R5-1.pdf","3등급"),IF(M373&lt;=2.3,HYPERLINK("http://www.lxhausys.co.kr/popup/rn/download/downloadPopup.jsp?from=plwindow&amp;uu=/upload/window/REPORT/LXH-EA26-018 F-230WS-226FFGS1R5-1.pdf","4등급"),IF(M373&lt;=2.8,HYPERLINK("http://www.lxhausys.co.kr/popup/rn/download/downloadPopup.jsp?from=plwindow&amp;uu=/upload/window/REPORT/LXH-EA26-018 F-230WS-226FFGS1R5-1.pdf","5등급"),HYPERLINK("http://www.lxhausys.co.kr/popup/rn/download/downloadPopup.jsp?from=plwindow&amp;uu=/upload/window/REPORT/LXH-EA26-018 F-230WS-226FFGS1R5-14.pdf","등급외"))))))</f>
        <v>3등급</v>
      </c>
      <c r="M373" s="49">
        <v>1.589</v>
      </c>
      <c r="N373" s="49">
        <v>1.47</v>
      </c>
      <c r="O373" s="46"/>
      <c r="P373" s="46" t="s">
        <v>150</v>
      </c>
      <c r="Q373" s="46" t="s">
        <v>19</v>
      </c>
      <c r="R373" s="46" t="s">
        <v>19</v>
      </c>
      <c r="S373" s="46" t="s">
        <v>19</v>
      </c>
      <c r="T373" s="46" t="s">
        <v>19</v>
      </c>
      <c r="U373" s="46" t="s">
        <v>19</v>
      </c>
      <c r="V373" s="46" t="s">
        <v>19</v>
      </c>
      <c r="W373" s="46" t="s">
        <v>19</v>
      </c>
      <c r="X373" s="46" t="s">
        <v>75</v>
      </c>
    </row>
    <row r="374" spans="1:24" s="51" customFormat="1">
      <c r="A374" s="46" t="s">
        <v>680</v>
      </c>
      <c r="B374" s="47" t="s">
        <v>1617</v>
      </c>
      <c r="C374" s="46" t="s">
        <v>1616</v>
      </c>
      <c r="D374" s="46" t="s">
        <v>20</v>
      </c>
      <c r="E374" s="47" t="s">
        <v>715</v>
      </c>
      <c r="F374" s="48"/>
      <c r="G374" s="47" t="s">
        <v>404</v>
      </c>
      <c r="H374" s="46"/>
      <c r="I374" s="46"/>
      <c r="J374" s="46" t="s">
        <v>1598</v>
      </c>
      <c r="K374" s="47" t="s">
        <v>1617</v>
      </c>
      <c r="L374" s="52" t="str">
        <f>IF(M374&lt;=0.9,HYPERLINK("http://www.lxhausys.co.kr/popup/rn/download/downloadPopup.jsp?from=plwindow&amp;uu=/upload/window/REPORT/LXH-EA26-019 F-230WS-224FFGS1R5-1.pdf","1등급"),IF(M374&lt;=1.2,HYPERLINK("http://www.lxhausys.co.kr/popup/rn/download/downloadPopup.jsp?from=plwindow&amp;uu=/upload/window/REPORT/LXH-EA26-019 F-230WS-224FFGS1R5-1.pdf","2등급"),IF(M374&lt;=1.8,HYPERLINK("http://www.lxhausys.co.kr/popup/rn/download/downloadPopup.jsp?from=plwindow&amp;uu=/upload/window/REPORT/LXH-EA26-019 F-230WS-224FFGS1R5-1.pdf","3등급"),IF(M374&lt;=2.3,HYPERLINK("http://www.lxhausys.co.kr/popup/rn/download/downloadPopup.jsp?from=plwindow&amp;uu=/upload/window/REPORT/LXH-EA26-019 F-230WS-224FFGS1R5-1.pdf","4등급"),IF(M374&lt;=2.8,HYPERLINK("http://www.lxhausys.co.kr/popup/rn/download/downloadPopup.jsp?from=plwindow&amp;uu=/upload/window/REPORT/LXH-EA26-019 F-230WS-224FFGS1R5-1.pdf","5등급"),HYPERLINK("http://www.lxhausys.co.kr/popup/rn/download/downloadPopup.jsp?from=plwindow&amp;uu=/upload/window/REPORT/LXH-EA26-019 F-230WS-224FFGS1R5-14.pdf","등급외"))))))</f>
        <v>3등급</v>
      </c>
      <c r="M374" s="49">
        <v>1.66</v>
      </c>
      <c r="N374" s="49">
        <v>1.35</v>
      </c>
      <c r="O374" s="46"/>
      <c r="P374" s="46" t="s">
        <v>150</v>
      </c>
      <c r="Q374" s="46" t="s">
        <v>19</v>
      </c>
      <c r="R374" s="46" t="s">
        <v>19</v>
      </c>
      <c r="S374" s="46" t="s">
        <v>19</v>
      </c>
      <c r="T374" s="46" t="s">
        <v>19</v>
      </c>
      <c r="U374" s="46" t="s">
        <v>19</v>
      </c>
      <c r="V374" s="46" t="s">
        <v>19</v>
      </c>
      <c r="W374" s="46" t="s">
        <v>19</v>
      </c>
      <c r="X374" s="46" t="s">
        <v>75</v>
      </c>
    </row>
    <row r="375" spans="1:24" s="51" customFormat="1">
      <c r="A375" s="46" t="s">
        <v>680</v>
      </c>
      <c r="B375" s="47" t="s">
        <v>1619</v>
      </c>
      <c r="C375" s="46" t="s">
        <v>1618</v>
      </c>
      <c r="D375" s="46" t="s">
        <v>20</v>
      </c>
      <c r="E375" s="47" t="s">
        <v>721</v>
      </c>
      <c r="F375" s="48"/>
      <c r="G375" s="47" t="s">
        <v>404</v>
      </c>
      <c r="H375" s="46"/>
      <c r="I375" s="46"/>
      <c r="J375" s="46" t="s">
        <v>1598</v>
      </c>
      <c r="K375" s="47" t="s">
        <v>1619</v>
      </c>
      <c r="L375" s="52" t="str">
        <f>IF(M375&lt;=0.9,HYPERLINK("http://www.lxhausys.co.kr/popup/rn/download/downloadPopup.jsp?from=plwindow&amp;uu=/upload/window/REPORT/LXH-EA26-020 F-230WS-224FFGS1A5-1.pdf","1등급"),IF(M375&lt;=1.2,HYPERLINK("http://www.lxhausys.co.kr/popup/rn/download/downloadPopup.jsp?from=plwindow&amp;uu=/upload/window/REPORT/LXH-EA26-020 F-230WS-224FFGS1A5-1.pdf","2등급"),IF(M375&lt;=1.8,HYPERLINK("http://www.lxhausys.co.kr/popup/rn/download/downloadPopup.jsp?from=plwindow&amp;uu=/upload/window/REPORT/LXH-EA26-020 F-230WS-224FFGS1A5-1.pdf","3등급"),IF(M375&lt;=2.3,HYPERLINK("http://www.lxhausys.co.kr/popup/rn/download/downloadPopup.jsp?from=plwindow&amp;uu=/upload/window/REPORT/LXH-EA26-020 F-230WS-224FFGS1A5-1.pdf","4등급"),IF(M375&lt;=2.8,HYPERLINK("http://www.lxhausys.co.kr/popup/rn/download/downloadPopup.jsp?from=plwindow&amp;uu=/upload/window/REPORT/LXH-EA26-020 F-230WS-224FFGS1A5-1.pdf","5등급"),HYPERLINK("http://www.lxhausys.co.kr/popup/rn/download/downloadPopup.jsp?from=plwindow&amp;uu=/upload/window/REPORT/LXH-EA26-020 F-230WS-224FFGS1A5-14.pdf","등급외"))))))</f>
        <v>4등급</v>
      </c>
      <c r="M375" s="49">
        <v>1.8380000000000001</v>
      </c>
      <c r="N375" s="49">
        <v>1.4</v>
      </c>
      <c r="O375" s="46"/>
      <c r="P375" s="46" t="s">
        <v>1510</v>
      </c>
      <c r="Q375" s="46" t="s">
        <v>19</v>
      </c>
      <c r="R375" s="46" t="s">
        <v>19</v>
      </c>
      <c r="S375" s="46" t="s">
        <v>19</v>
      </c>
      <c r="T375" s="46" t="s">
        <v>19</v>
      </c>
      <c r="U375" s="46" t="s">
        <v>19</v>
      </c>
      <c r="V375" s="46" t="s">
        <v>19</v>
      </c>
      <c r="W375" s="46" t="s">
        <v>19</v>
      </c>
      <c r="X375" s="46" t="s">
        <v>75</v>
      </c>
    </row>
    <row r="376" spans="1:24" s="51" customFormat="1">
      <c r="A376" s="46" t="s">
        <v>680</v>
      </c>
      <c r="B376" s="47" t="s">
        <v>1621</v>
      </c>
      <c r="C376" s="46" t="s">
        <v>1620</v>
      </c>
      <c r="D376" s="46" t="s">
        <v>20</v>
      </c>
      <c r="E376" s="47" t="s">
        <v>717</v>
      </c>
      <c r="F376" s="48"/>
      <c r="G376" s="47" t="s">
        <v>404</v>
      </c>
      <c r="H376" s="46"/>
      <c r="I376" s="46"/>
      <c r="J376" s="46" t="s">
        <v>1410</v>
      </c>
      <c r="K376" s="47" t="s">
        <v>1621</v>
      </c>
      <c r="L376" s="52" t="str">
        <f>IF(M376&lt;=0.9,HYPERLINK("http://www.lxhausys.co.kr/popup/rn/download/downloadPopup.jsp?from=plwindow&amp;uu=/upload/window/REPORT/LXH-EA26-021 F-230WS-226FFGS1A5-1.pdf","1등급"),IF(M376&lt;=1.2,HYPERLINK("http://www.lxhausys.co.kr/popup/rn/download/downloadPopup.jsp?from=plwindow&amp;uu=/upload/window/REPORT/LXH-EA26-021 F-230WS-226FFGS1A5-1.pdf","2등급"),IF(M376&lt;=1.8,HYPERLINK("http://www.lxhausys.co.kr/popup/rn/download/downloadPopup.jsp?from=plwindow&amp;uu=/upload/window/REPORT/LXH-EA26-021 F-230WS-226FFGS1A5-1.pdf","3등급"),IF(M376&lt;=2.3,HYPERLINK("http://www.lxhausys.co.kr/popup/rn/download/downloadPopup.jsp?from=plwindow&amp;uu=/upload/window/REPORT/LXH-EA26-021 F-230WS-226FFGS1A5-1.pdf","4등급"),IF(M376&lt;=2.8,HYPERLINK("http://www.lxhausys.co.kr/popup/rn/download/downloadPopup.jsp?from=plwindow&amp;uu=/upload/window/REPORT/LXH-EA26-021 F-230WS-226FFGS1A5-1.pdf","5등급"),HYPERLINK("http://www.lxhausys.co.kr/popup/rn/download/downloadPopup.jsp?from=plwindow&amp;uu=/upload/window/REPORT/LXH-EA26-021 F-230WS-226FFGS1A5-14.pdf","등급외"))))))</f>
        <v>3등급</v>
      </c>
      <c r="M376" s="49">
        <v>1.796</v>
      </c>
      <c r="N376" s="49">
        <v>1.39</v>
      </c>
      <c r="O376" s="46"/>
      <c r="P376" s="46" t="s">
        <v>150</v>
      </c>
      <c r="Q376" s="46" t="s">
        <v>19</v>
      </c>
      <c r="R376" s="46" t="s">
        <v>19</v>
      </c>
      <c r="S376" s="46" t="s">
        <v>19</v>
      </c>
      <c r="T376" s="46" t="s">
        <v>19</v>
      </c>
      <c r="U376" s="46" t="s">
        <v>19</v>
      </c>
      <c r="V376" s="46" t="s">
        <v>19</v>
      </c>
      <c r="W376" s="46" t="s">
        <v>19</v>
      </c>
      <c r="X376" s="46" t="s">
        <v>75</v>
      </c>
    </row>
    <row r="377" spans="1:24" s="51" customFormat="1">
      <c r="A377" s="46" t="s">
        <v>1623</v>
      </c>
      <c r="B377" s="47" t="s">
        <v>1624</v>
      </c>
      <c r="C377" s="46" t="s">
        <v>1622</v>
      </c>
      <c r="D377" s="46" t="s">
        <v>20</v>
      </c>
      <c r="E377" s="47" t="s">
        <v>1625</v>
      </c>
      <c r="F377" s="48"/>
      <c r="G377" s="47" t="s">
        <v>404</v>
      </c>
      <c r="H377" s="46"/>
      <c r="I377" s="46"/>
      <c r="J377" s="46" t="s">
        <v>1452</v>
      </c>
      <c r="K377" s="47" t="s">
        <v>1624</v>
      </c>
      <c r="L377" s="52" t="str">
        <f>IF(M377&lt;=0.9,HYPERLINK("http://www.lxhausys.co.kr/popup/rn/download/downloadPopup.jsp?from=plwindow&amp;uu=/upload/window/REPORT/LXH-EA26-023 F-131R-222FFGL1R5.pdf","1등급"),IF(M377&lt;=1.2,HYPERLINK("http://www.lxhausys.co.kr/popup/rn/download/downloadPopup.jsp?from=plwindow&amp;uu=/upload/window/REPORT/LXH-EA26-023 F-131R-222FFGL1R5.pdf","2등급"),IF(M377&lt;=1.8,HYPERLINK("http://www.lxhausys.co.kr/popup/rn/download/downloadPopup.jsp?from=plwindow&amp;uu=/upload/window/REPORT/LXH-EA26-023 F-131R-222FFGL1R5.pdf","3등급"),IF(M377&lt;=2.3,HYPERLINK("http://www.lxhausys.co.kr/popup/rn/download/downloadPopup.jsp?from=plwindow&amp;uu=/upload/window/REPORT/LXH-EA26-023 F-131R-222FFGL1R5.pdf","4등급"),IF(M377&lt;=2.8,HYPERLINK("http://www.lxhausys.co.kr/popup/rn/download/downloadPopup.jsp?from=plwindow&amp;uu=/upload/window/REPORT/LXH-EA26-023 F-131R-222FFGL1R5.pdf","5등급"),HYPERLINK("http://www.lxhausys.co.kr/popup/rn/download/downloadPopup.jsp?from=plwindow&amp;uu=/upload/window/REPORT/LXH-EA26-023 F-131R-222FFGL1R54.pdf","등급외"))))))</f>
        <v>3등급</v>
      </c>
      <c r="M377" s="49">
        <v>1.67</v>
      </c>
      <c r="N377" s="49">
        <v>1.52</v>
      </c>
      <c r="O377" s="46"/>
      <c r="P377" s="46" t="s">
        <v>150</v>
      </c>
      <c r="Q377" s="46" t="s">
        <v>19</v>
      </c>
      <c r="R377" s="46" t="s">
        <v>19</v>
      </c>
      <c r="S377" s="46" t="s">
        <v>19</v>
      </c>
      <c r="T377" s="46" t="s">
        <v>19</v>
      </c>
      <c r="U377" s="46" t="s">
        <v>19</v>
      </c>
      <c r="V377" s="46" t="s">
        <v>19</v>
      </c>
      <c r="W377" s="46" t="s">
        <v>19</v>
      </c>
      <c r="X377" s="46" t="s">
        <v>75</v>
      </c>
    </row>
    <row r="378" spans="1:24" s="51" customFormat="1">
      <c r="A378" s="46" t="s">
        <v>1626</v>
      </c>
      <c r="B378" s="47" t="s">
        <v>1627</v>
      </c>
      <c r="C378" s="46" t="s">
        <v>1646</v>
      </c>
      <c r="D378" s="46" t="s">
        <v>20</v>
      </c>
      <c r="E378" s="47" t="s">
        <v>1449</v>
      </c>
      <c r="F378" s="48" t="s">
        <v>1451</v>
      </c>
      <c r="G378" s="47" t="s">
        <v>404</v>
      </c>
      <c r="H378" s="46"/>
      <c r="I378" s="46"/>
      <c r="J378" s="46" t="s">
        <v>1452</v>
      </c>
      <c r="K378" s="47" t="s">
        <v>1627</v>
      </c>
      <c r="L378" s="52" t="str">
        <f>IF(M378&lt;=0.9,HYPERLINK("http://www.lxhausys.co.kr/popup/rn/download/downloadPopup.jsp?from=plwindow&amp;uu=/upload/window/REPORT/LXH-EA26-022 F-246R-422GGGL2A5.pdf","1등급"),IF(M378&lt;=1.2,HYPERLINK("http://www.lxhausys.co.kr/popup/rn/download/downloadPopup.jsp?from=plwindow&amp;uu=/upload/window/REPORT/LXH-EA26-022 F-246R-422GGGL2A5.pdf","2등급"),IF(M378&lt;=1.8,HYPERLINK("http://www.lxhausys.co.kr/popup/rn/download/downloadPopup.jsp?from=plwindow&amp;uu=/upload/window/REPORT/LXH-EA26-022 F-246R-422GGGL2A5.pdf","3등급"),IF(M378&lt;=2.3,HYPERLINK("http://www.lxhausys.co.kr/popup/rn/download/downloadPopup.jsp?from=plwindow&amp;uu=/upload/window/REPORT/LXH-EA26-022 F-246R-422GGGL2A5.pdf","4등급"),IF(M378&lt;=2.8,HYPERLINK("http://www.lxhausys.co.kr/popup/rn/download/downloadPopup.jsp?from=plwindow&amp;uu=/upload/window/REPORT/LXH-EA26-022 F-246R-422GGGL2A5.pdf","5등급"),HYPERLINK("http://www.lxhausys.co.kr/popup/rn/download/downloadPopup.jsp?from=plwindow&amp;uu=/upload/window/REPORT/LXH-EA26-022 F-246R-422GGGL2A54.pdf","등급외"))))))</f>
        <v>1등급</v>
      </c>
      <c r="M378" s="49">
        <v>0.89500000000000002</v>
      </c>
      <c r="N378" s="49">
        <v>0.73</v>
      </c>
      <c r="O378" s="46"/>
      <c r="P378" s="46" t="s">
        <v>22</v>
      </c>
      <c r="Q378" s="46" t="s">
        <v>19</v>
      </c>
      <c r="R378" s="46" t="s">
        <v>19</v>
      </c>
      <c r="S378" s="46" t="s">
        <v>19</v>
      </c>
      <c r="T378" s="46" t="s">
        <v>19</v>
      </c>
      <c r="U378" s="46" t="s">
        <v>19</v>
      </c>
      <c r="V378" s="46" t="s">
        <v>19</v>
      </c>
      <c r="W378" s="46" t="s">
        <v>19</v>
      </c>
      <c r="X378" s="46" t="s">
        <v>75</v>
      </c>
    </row>
    <row r="379" spans="1:24" s="51" customFormat="1">
      <c r="A379" s="46" t="s">
        <v>674</v>
      </c>
      <c r="B379" s="47" t="s">
        <v>1647</v>
      </c>
      <c r="C379" s="46" t="s">
        <v>1653</v>
      </c>
      <c r="D379" s="46" t="s">
        <v>20</v>
      </c>
      <c r="E379" s="47" t="s">
        <v>720</v>
      </c>
      <c r="F379" s="48"/>
      <c r="G379" s="47" t="s">
        <v>404</v>
      </c>
      <c r="H379" s="46"/>
      <c r="I379" s="46"/>
      <c r="J379" s="46" t="s">
        <v>1410</v>
      </c>
      <c r="K379" s="47" t="s">
        <v>1647</v>
      </c>
      <c r="L379" s="52" t="str">
        <f>IF(M379&lt;=0.9,HYPERLINK("http://www.lxhausys.co.kr/popup/rn/download/downloadPopup.jsp?from=plwindow&amp;uu=/upload/window/REPORT/LXH-EA26-026 F-230W-224FFGG1A5.pdf","1등급"),IF(M379&lt;=1.2,HYPERLINK("http://www.lxhausys.co.kr/popup/rn/download/downloadPopup.jsp?from=plwindow&amp;uu=/upload/window/REPORT/LXH-EA26-026 F-230W-224FFGG1A5.pdf","2등급"),IF(M379&lt;=1.8,HYPERLINK("http://www.lxhausys.co.kr/popup/rn/download/downloadPopup.jsp?from=plwindow&amp;uu=/upload/window/REPORT/LXH-EA26-026 F-230W-224FFGG1A5.pdf","3등급"),IF(M379&lt;=2.3,HYPERLINK("http://www.lxhausys.co.kr/popup/rn/download/downloadPopup.jsp?from=plwindow&amp;uu=/upload/window/REPORT/LXH-EA26-026 F-230W-224FFGG1A5.pdf","4등급"),IF(M379&lt;=2.8,HYPERLINK("http://www.lxhausys.co.kr/popup/rn/download/downloadPopup.jsp?from=plwindow&amp;uu=/upload/window/REPORT/LXH-EA26-026 F-230W-224FFGG1A5.pdf","5등급"),HYPERLINK("http://www.lxhausys.co.kr/popup/rn/download/downloadPopup.jsp?from=plwindow&amp;uu=/upload/window/REPORT/LXH-EA26-026 F-230W-224FFGG1A5.pdf","등급외"))))))</f>
        <v>5등급</v>
      </c>
      <c r="M379" s="49">
        <v>2.762</v>
      </c>
      <c r="N379" s="49">
        <v>1.55</v>
      </c>
      <c r="O379" s="46"/>
      <c r="P379" s="46" t="s">
        <v>613</v>
      </c>
      <c r="Q379" s="46" t="s">
        <v>19</v>
      </c>
      <c r="R379" s="46" t="s">
        <v>19</v>
      </c>
      <c r="S379" s="46" t="s">
        <v>19</v>
      </c>
      <c r="T379" s="46" t="s">
        <v>19</v>
      </c>
      <c r="U379" s="46" t="s">
        <v>19</v>
      </c>
      <c r="V379" s="46" t="s">
        <v>19</v>
      </c>
      <c r="W379" s="46" t="s">
        <v>19</v>
      </c>
      <c r="X379" s="46" t="s">
        <v>75</v>
      </c>
    </row>
    <row r="380" spans="1:24" s="51" customFormat="1">
      <c r="A380" s="46" t="s">
        <v>674</v>
      </c>
      <c r="B380" s="47" t="s">
        <v>1648</v>
      </c>
      <c r="C380" s="46" t="s">
        <v>1654</v>
      </c>
      <c r="D380" s="46" t="s">
        <v>20</v>
      </c>
      <c r="E380" s="47" t="s">
        <v>713</v>
      </c>
      <c r="F380" s="48"/>
      <c r="G380" s="47" t="s">
        <v>404</v>
      </c>
      <c r="H380" s="46"/>
      <c r="I380" s="46"/>
      <c r="J380" s="46" t="s">
        <v>1410</v>
      </c>
      <c r="K380" s="47" t="s">
        <v>1648</v>
      </c>
      <c r="L380" s="52" t="str">
        <f>IF(M380&lt;=0.9,HYPERLINK("http://www.lxhausys.co.kr/popup/rn/download/downloadPopup.jsp?from=plwindow&amp;uu=/upload/window/REPORT/LXH-EA26-027 F-230W-226FFGG1A5.pdf","1등급"),IF(M380&lt;=1.2,HYPERLINK("http://www.lxhausys.co.kr/popup/rn/download/downloadPopup.jsp?from=plwindow&amp;uu=/upload/window/REPORT/LXH-EA26-027 F-230W-226FFGG1A5.pdf","2등급"),IF(M380&lt;=1.8,HYPERLINK("http://www.lxhausys.co.kr/popup/rn/download/downloadPopup.jsp?from=plwindow&amp;uu=/upload/window/REPORT/LXH-EA26-027 F-230W-226FFGG1A5.pdf","3등급"),IF(M380&lt;=2.3,HYPERLINK("http://www.lxhausys.co.kr/popup/rn/download/downloadPopup.jsp?from=plwindow&amp;uu=/upload/window/REPORT/LXH-EA26-027 F-230W-226FFGG1A5.pdf","4등급"),IF(M380&lt;=2.8,HYPERLINK("http://www.lxhausys.co.kr/popup/rn/download/downloadPopup.jsp?from=plwindow&amp;uu=/upload/window/REPORT/LXH-EA26-027 F-230W-226FFGG1A5.pdf","5등급"),HYPERLINK("http://www.lxhausys.co.kr/popup/rn/download/downloadPopup.jsp?from=plwindow&amp;uu=/upload/window/REPORT/LXH-EA26-027 F-230W-226FFGG1A5.pdf","등급외"))))))</f>
        <v>5등급</v>
      </c>
      <c r="M380" s="49">
        <v>2.7029999999999998</v>
      </c>
      <c r="N380" s="49">
        <v>1.39</v>
      </c>
      <c r="O380" s="46"/>
      <c r="P380" s="46" t="s">
        <v>613</v>
      </c>
      <c r="Q380" s="46" t="s">
        <v>19</v>
      </c>
      <c r="R380" s="46" t="s">
        <v>19</v>
      </c>
      <c r="S380" s="46" t="s">
        <v>19</v>
      </c>
      <c r="T380" s="46" t="s">
        <v>19</v>
      </c>
      <c r="U380" s="46" t="s">
        <v>19</v>
      </c>
      <c r="V380" s="46" t="s">
        <v>19</v>
      </c>
      <c r="W380" s="46" t="s">
        <v>19</v>
      </c>
      <c r="X380" s="46" t="s">
        <v>75</v>
      </c>
    </row>
    <row r="381" spans="1:24" s="51" customFormat="1">
      <c r="A381" s="46" t="s">
        <v>675</v>
      </c>
      <c r="B381" s="47" t="s">
        <v>1649</v>
      </c>
      <c r="C381" s="46" t="s">
        <v>1655</v>
      </c>
      <c r="D381" s="46" t="s">
        <v>20</v>
      </c>
      <c r="E381" s="47" t="s">
        <v>723</v>
      </c>
      <c r="F381" s="48"/>
      <c r="G381" s="47" t="s">
        <v>404</v>
      </c>
      <c r="H381" s="46"/>
      <c r="I381" s="46"/>
      <c r="J381" s="46" t="s">
        <v>1410</v>
      </c>
      <c r="K381" s="47" t="s">
        <v>1649</v>
      </c>
      <c r="L381" s="52" t="str">
        <f>IF(M381&lt;=0.9,HYPERLINK("http://www.lxhausys.co.kr/popup/rn/download/downloadPopup.jsp?from=plwindow&amp;uu=/upload/window/REPORT/LXH-EA26-028 F-230WF-228FFGG1A5.pdf","1등급"),IF(M381&lt;=1.2,HYPERLINK("http://www.lxhausys.co.kr/popup/rn/download/downloadPopup.jsp?from=plwindow&amp;uu=/upload/window/REPORT/LXH-EA26-028 F-230WF-228FFGG1A5.pdf","2등급"),IF(M381&lt;=1.8,HYPERLINK("http://www.lxhausys.co.kr/popup/rn/download/downloadPopup.jsp?from=plwindow&amp;uu=/upload/window/REPORT/LXH-EA26-028 F-230WF-228FFGG1A5.pdf","3등급"),IF(M381&lt;=2.3,HYPERLINK("http://www.lxhausys.co.kr/popup/rn/download/downloadPopup.jsp?from=plwindow&amp;uu=/upload/window/REPORT/LXH-EA26-028 F-230WF-228FFGG1A5.pdf","4등급"),IF(M381&lt;=2.8,HYPERLINK("http://www.lxhausys.co.kr/popup/rn/download/downloadPopup.jsp?from=plwindow&amp;uu=/upload/window/REPORT/LXH-EA26-028 F-230WF-228FFGG1A5.pdf","5등급"),HYPERLINK("http://www.lxhausys.co.kr/popup/rn/download/downloadPopup.jsp?from=plwindow&amp;uu=/upload/window/REPORT/LXH-EA26-028 F-230WF-228FFGG1A5.pdf","등급외"))))))</f>
        <v>5등급</v>
      </c>
      <c r="M381" s="49">
        <v>2.6829999999999998</v>
      </c>
      <c r="N381" s="49">
        <v>1.58</v>
      </c>
      <c r="O381" s="46"/>
      <c r="P381" s="46" t="s">
        <v>613</v>
      </c>
      <c r="Q381" s="46" t="s">
        <v>19</v>
      </c>
      <c r="R381" s="46" t="s">
        <v>19</v>
      </c>
      <c r="S381" s="46" t="s">
        <v>19</v>
      </c>
      <c r="T381" s="46" t="s">
        <v>19</v>
      </c>
      <c r="U381" s="46" t="s">
        <v>19</v>
      </c>
      <c r="V381" s="46" t="s">
        <v>19</v>
      </c>
      <c r="W381" s="46" t="s">
        <v>19</v>
      </c>
      <c r="X381" s="46" t="s">
        <v>75</v>
      </c>
    </row>
    <row r="382" spans="1:24" s="51" customFormat="1">
      <c r="A382" s="46" t="s">
        <v>675</v>
      </c>
      <c r="B382" s="47" t="s">
        <v>1650</v>
      </c>
      <c r="C382" s="46" t="s">
        <v>1656</v>
      </c>
      <c r="D382" s="46" t="s">
        <v>20</v>
      </c>
      <c r="E382" s="47" t="s">
        <v>720</v>
      </c>
      <c r="F382" s="48"/>
      <c r="G382" s="47" t="s">
        <v>404</v>
      </c>
      <c r="H382" s="46"/>
      <c r="I382" s="46"/>
      <c r="J382" s="46" t="s">
        <v>1410</v>
      </c>
      <c r="K382" s="47" t="s">
        <v>1650</v>
      </c>
      <c r="L382" s="52" t="str">
        <f>IF(M382&lt;=0.9,HYPERLINK("http://www.lxhausys.co.kr/popup/rn/download/downloadPopup.jsp?from=plwindow&amp;uu=/upload/window/REPORT/LXH-EA26-029 F-230WF-224FFGG1A5.pdf","1등급"),IF(M382&lt;=1.2,HYPERLINK("http://www.lxhausys.co.kr/popup/rn/download/downloadPopup.jsp?from=plwindow&amp;uu=/upload/window/REPORT/LXH-EA26-029 F-230WF-224FFGG1A5.pdf","2등급"),IF(M382&lt;=1.8,HYPERLINK("http://www.lxhausys.co.kr/popup/rn/download/downloadPopup.jsp?from=plwindow&amp;uu=/upload/window/REPORT/LXH-EA26-029 F-230WF-224FFGG1A5.pdf","3등급"),IF(M382&lt;=2.3,HYPERLINK("http://www.lxhausys.co.kr/popup/rn/download/downloadPopup.jsp?from=plwindow&amp;uu=/upload/window/REPORT/LXH-EA26-029 F-230WF-224FFGG1A5.pdf","4등급"),IF(M382&lt;=2.8,HYPERLINK("http://www.lxhausys.co.kr/popup/rn/download/downloadPopup.jsp?from=plwindow&amp;uu=/upload/window/REPORT/LXH-EA26-029 F-230WF-224FFGG1A5.pdf","5등급"),HYPERLINK("http://www.lxhausys.co.kr/popup/rn/download/downloadPopup.jsp?from=plwindow&amp;uu=/upload/window/REPORT/LXH-EA26-029 F-230WF-224FFGG1A5.pdf","등급외"))))))</f>
        <v>5등급</v>
      </c>
      <c r="M382" s="49">
        <v>2.7570000000000001</v>
      </c>
      <c r="N382" s="49">
        <v>1.63</v>
      </c>
      <c r="O382" s="46"/>
      <c r="P382" s="46" t="s">
        <v>613</v>
      </c>
      <c r="Q382" s="46" t="s">
        <v>19</v>
      </c>
      <c r="R382" s="46" t="s">
        <v>19</v>
      </c>
      <c r="S382" s="46" t="s">
        <v>19</v>
      </c>
      <c r="T382" s="46" t="s">
        <v>19</v>
      </c>
      <c r="U382" s="46" t="s">
        <v>19</v>
      </c>
      <c r="V382" s="46" t="s">
        <v>19</v>
      </c>
      <c r="W382" s="46" t="s">
        <v>19</v>
      </c>
      <c r="X382" s="46" t="s">
        <v>75</v>
      </c>
    </row>
    <row r="383" spans="1:24" s="51" customFormat="1">
      <c r="A383" s="46" t="s">
        <v>675</v>
      </c>
      <c r="B383" s="47" t="s">
        <v>1651</v>
      </c>
      <c r="C383" s="46" t="s">
        <v>1657</v>
      </c>
      <c r="D383" s="46" t="s">
        <v>20</v>
      </c>
      <c r="E383" s="47" t="s">
        <v>713</v>
      </c>
      <c r="F383" s="48"/>
      <c r="G383" s="47" t="s">
        <v>404</v>
      </c>
      <c r="H383" s="46"/>
      <c r="I383" s="46"/>
      <c r="J383" s="46" t="s">
        <v>1410</v>
      </c>
      <c r="K383" s="47" t="s">
        <v>1651</v>
      </c>
      <c r="L383" s="52" t="str">
        <f>IF(M383&lt;=0.9,HYPERLINK("http://www.lxhausys.co.kr/popup/rn/download/downloadPopup.jsp?from=plwindow&amp;uu=/upload/window/REPORT/LXH-EA26-030 F-230WF-226FFGG1A5.pdf","1등급"),IF(M383&lt;=1.2,HYPERLINK("http://www.lxhausys.co.kr/popup/rn/download/downloadPopup.jsp?from=plwindow&amp;uu=/upload/window/REPORT/LXH-EA26-030 F-230WF-226FFGG1A5.pdf","2등급"),IF(M383&lt;=1.8,HYPERLINK("http://www.lxhausys.co.kr/popup/rn/download/downloadPopup.jsp?from=plwindow&amp;uu=/upload/window/REPORT/LXH-EA26-030 F-230WF-226FFGG1A5.pdf","3등급"),IF(M383&lt;=2.3,HYPERLINK("http://www.lxhausys.co.kr/popup/rn/download/downloadPopup.jsp?from=plwindow&amp;uu=/upload/window/REPORT/LXH-EA26-030 F-230WF-226FFGG1A5.pdf","4등급"),IF(M383&lt;=2.8,HYPERLINK("http://www.lxhausys.co.kr/popup/rn/download/downloadPopup.jsp?from=plwindow&amp;uu=/upload/window/REPORT/LXH-EA26-030 F-230WF-226FFGG1A5.pdf","5등급"),HYPERLINK("http://www.lxhausys.co.kr/popup/rn/download/downloadPopup.jsp?from=plwindow&amp;uu=/upload/window/REPORT/LXH-EA26-030 F-230WF-226FFGG1A5.pdf","등급외"))))))</f>
        <v>5등급</v>
      </c>
      <c r="M383" s="49">
        <v>2.7090000000000001</v>
      </c>
      <c r="N383" s="49">
        <v>1.68</v>
      </c>
      <c r="O383" s="46"/>
      <c r="P383" s="46" t="s">
        <v>613</v>
      </c>
      <c r="Q383" s="46" t="s">
        <v>19</v>
      </c>
      <c r="R383" s="46" t="s">
        <v>19</v>
      </c>
      <c r="S383" s="46" t="s">
        <v>19</v>
      </c>
      <c r="T383" s="46" t="s">
        <v>19</v>
      </c>
      <c r="U383" s="46" t="s">
        <v>19</v>
      </c>
      <c r="V383" s="46" t="s">
        <v>19</v>
      </c>
      <c r="W383" s="46" t="s">
        <v>19</v>
      </c>
      <c r="X383" s="46" t="s">
        <v>75</v>
      </c>
    </row>
    <row r="384" spans="1:24" s="51" customFormat="1">
      <c r="A384" s="46" t="s">
        <v>674</v>
      </c>
      <c r="B384" s="47" t="s">
        <v>1652</v>
      </c>
      <c r="C384" s="46" t="s">
        <v>1659</v>
      </c>
      <c r="D384" s="46" t="s">
        <v>20</v>
      </c>
      <c r="E384" s="47" t="s">
        <v>723</v>
      </c>
      <c r="F384" s="48"/>
      <c r="G384" s="47" t="s">
        <v>404</v>
      </c>
      <c r="H384" s="46"/>
      <c r="I384" s="46"/>
      <c r="J384" s="46" t="s">
        <v>1410</v>
      </c>
      <c r="K384" s="47" t="s">
        <v>1652</v>
      </c>
      <c r="L384" s="52" t="str">
        <f>IF(M384&lt;=0.9,HYPERLINK("http://www.lxhausys.co.kr/popup/rn/download/downloadPopup.jsp?from=plwindow&amp;uu=/upload/window/REPORT/LXH-EA26-031 F-230W-228FFGG1A5.pdf","1등급"),IF(M384&lt;=1.2,HYPERLINK("http://www.lxhausys.co.kr/popup/rn/download/downloadPopup.jsp?from=plwindow&amp;uu=/upload/window/REPORT/LXH-EA26-031 F-230W-228FFGG1A5.pdf","2등급"),IF(M384&lt;=1.8,HYPERLINK("http://www.lxhausys.co.kr/popup/rn/download/downloadPopup.jsp?from=plwindow&amp;uu=/upload/window/REPORT/LXH-EA26-031 F-230W-228FFGG1A5.pdf","3등급"),IF(M384&lt;=2.3,HYPERLINK("http://www.lxhausys.co.kr/popup/rn/download/downloadPopup.jsp?from=plwindow&amp;uu=/upload/window/REPORT/LXH-EA26-031 F-230W-228FFGG1A5.pdf","4등급"),IF(M384&lt;=2.8,HYPERLINK("http://www.lxhausys.co.kr/popup/rn/download/downloadPopup.jsp?from=plwindow&amp;uu=/upload/window/REPORT/LXH-EA26-031 F-230W-228FFGG1A5.pdf","5등급"),HYPERLINK("http://www.lxhausys.co.kr/popup/rn/download/downloadPopup.jsp?from=plwindow&amp;uu=/upload/window/REPORT/LXH-EA26-031 F-230W-228FFGG1A5.pdf","등급외"))))))</f>
        <v>5등급</v>
      </c>
      <c r="M384" s="49">
        <v>2.6659999999999999</v>
      </c>
      <c r="N384" s="49">
        <v>1.59</v>
      </c>
      <c r="O384" s="46"/>
      <c r="P384" s="46" t="s">
        <v>613</v>
      </c>
      <c r="Q384" s="46" t="s">
        <v>19</v>
      </c>
      <c r="R384" s="46" t="s">
        <v>19</v>
      </c>
      <c r="S384" s="46" t="s">
        <v>19</v>
      </c>
      <c r="T384" s="46" t="s">
        <v>19</v>
      </c>
      <c r="U384" s="46" t="s">
        <v>19</v>
      </c>
      <c r="V384" s="46" t="s">
        <v>19</v>
      </c>
      <c r="W384" s="46" t="s">
        <v>19</v>
      </c>
      <c r="X384" s="46" t="s">
        <v>75</v>
      </c>
    </row>
    <row r="385" spans="1:24" s="51" customFormat="1">
      <c r="A385" s="46" t="s">
        <v>680</v>
      </c>
      <c r="B385" s="47" t="s">
        <v>1663</v>
      </c>
      <c r="C385" s="46" t="s">
        <v>1660</v>
      </c>
      <c r="D385" s="46" t="s">
        <v>20</v>
      </c>
      <c r="E385" s="47" t="s">
        <v>713</v>
      </c>
      <c r="F385" s="48"/>
      <c r="G385" s="47" t="s">
        <v>404</v>
      </c>
      <c r="H385" s="46"/>
      <c r="I385" s="46"/>
      <c r="J385" s="46" t="s">
        <v>1452</v>
      </c>
      <c r="K385" s="47" t="s">
        <v>1667</v>
      </c>
      <c r="L385" s="52" t="str">
        <f>IF(M385&lt;=0.9,HYPERLINK("http://www.lxhausys.co.kr/popup/rn/download/downloadPopup.jsp?from=plwindow&amp;uu=/upload/window/REPORT/LXH-EA26-032 F-230WS-226FFGG1A5.pdf","1등급"),IF(M385&lt;=1.2,HYPERLINK("http://www.lxhausys.co.kr/popup/rn/download/downloadPopup.jsp?from=plwindow&amp;uu=/upload/window/REPORT/LXH-EA26-032 F-230WS-226FFGG1A5.pdf","2등급"),IF(M385&lt;=1.8,HYPERLINK("http://www.lxhausys.co.kr/popup/rn/download/downloadPopup.jsp?from=plwindow&amp;uu=/upload/window/REPORT/LXH-EA26-032 F-230WS-226FFGG1A5.pdf","3등급"),IF(M385&lt;=2.3,HYPERLINK("http://www.lxhausys.co.kr/popup/rn/download/downloadPopup.jsp?from=plwindow&amp;uu=/upload/window/REPORT/LXH-EA26-032 F-230WS-226FFGG1A5.pdf","4등급"),IF(M385&lt;=2.8,HYPERLINK("http://www.lxhausys.co.kr/popup/rn/download/downloadPopup.jsp?from=plwindow&amp;uu=/upload/window/REPORT/LXH-EA26-032 F-230WS-226FFGG1A5.pdf","5등급"),HYPERLINK("http://www.lxhausys.co.kr/popup/rn/download/downloadPopup.jsp?from=plwindow&amp;uu=/upload/window/REPORT/LXH-EA26-032 F-230WS-226FFGG1A5.pdf","등급외"))))))</f>
        <v>5등급</v>
      </c>
      <c r="M385" s="49">
        <v>2.718</v>
      </c>
      <c r="N385" s="49">
        <v>1.38</v>
      </c>
      <c r="O385" s="46"/>
      <c r="P385" s="46" t="s">
        <v>613</v>
      </c>
      <c r="Q385" s="46" t="s">
        <v>19</v>
      </c>
      <c r="R385" s="46" t="s">
        <v>19</v>
      </c>
      <c r="S385" s="46" t="s">
        <v>19</v>
      </c>
      <c r="T385" s="46" t="s">
        <v>19</v>
      </c>
      <c r="U385" s="46" t="s">
        <v>19</v>
      </c>
      <c r="V385" s="46" t="s">
        <v>19</v>
      </c>
      <c r="W385" s="46" t="s">
        <v>19</v>
      </c>
      <c r="X385" s="46" t="s">
        <v>75</v>
      </c>
    </row>
    <row r="386" spans="1:24" s="51" customFormat="1">
      <c r="A386" s="46" t="s">
        <v>680</v>
      </c>
      <c r="B386" s="47" t="s">
        <v>1664</v>
      </c>
      <c r="C386" s="46" t="s">
        <v>1661</v>
      </c>
      <c r="D386" s="46" t="s">
        <v>20</v>
      </c>
      <c r="E386" s="47" t="s">
        <v>1666</v>
      </c>
      <c r="F386" s="48"/>
      <c r="G386" s="47" t="s">
        <v>404</v>
      </c>
      <c r="H386" s="46"/>
      <c r="I386" s="46"/>
      <c r="J386" s="46" t="s">
        <v>1452</v>
      </c>
      <c r="K386" s="47" t="s">
        <v>1668</v>
      </c>
      <c r="L386" s="52" t="str">
        <f>IF(M386&lt;=0.9,HYPERLINK("http://www.lxhausys.co.kr/popup/rn/download/downloadPopup.jsp?from=plwindow&amp;uu=/upload/window/REPORT/LXH-EA26-033 F-230WS-222FFGG1A5.pdf","1등급"),IF(M386&lt;=1.2,HYPERLINK("http://www.lxhausys.co.kr/popup/rn/download/downloadPopup.jsp?from=plwindow&amp;uu=/upload/window/REPORT/LXH-EA26-033 F-230WS-222FFGG1A5.pdf","2등급"),IF(M386&lt;=1.8,HYPERLINK("http://www.lxhausys.co.kr/popup/rn/download/downloadPopup.jsp?from=plwindow&amp;uu=/upload/window/REPORT/LXH-EA26-033 F-230WS-222FFGG1A5.pdf","3등급"),IF(M386&lt;=2.3,HYPERLINK("http://www.lxhausys.co.kr/popup/rn/download/downloadPopup.jsp?from=plwindow&amp;uu=/upload/window/REPORT/LXH-EA26-033 F-230WS-222FFGG1A5.pdf","4등급"),IF(M386&lt;=2.8,HYPERLINK("http://www.lxhausys.co.kr/popup/rn/download/downloadPopup.jsp?from=plwindow&amp;uu=/upload/window/REPORT/LXH-EA26-033 F-230WS-222FFGG1A5.pdf","5등급"),HYPERLINK("http://www.lxhausys.co.kr/popup/rn/download/downloadPopup.jsp?from=plwindow&amp;uu=/upload/window/REPORT/LXH-EA26-033 F-230WS-222FFGG1A5.pdf","등급외"))))))</f>
        <v>5등급</v>
      </c>
      <c r="M386" s="49">
        <v>2.7810000000000001</v>
      </c>
      <c r="N386" s="49">
        <v>1.5</v>
      </c>
      <c r="O386" s="46"/>
      <c r="P386" s="46" t="s">
        <v>613</v>
      </c>
      <c r="Q386" s="46" t="s">
        <v>19</v>
      </c>
      <c r="R386" s="46" t="s">
        <v>19</v>
      </c>
      <c r="S386" s="46" t="s">
        <v>19</v>
      </c>
      <c r="T386" s="46" t="s">
        <v>19</v>
      </c>
      <c r="U386" s="46" t="s">
        <v>19</v>
      </c>
      <c r="V386" s="46" t="s">
        <v>19</v>
      </c>
      <c r="W386" s="46" t="s">
        <v>19</v>
      </c>
      <c r="X386" s="46" t="s">
        <v>75</v>
      </c>
    </row>
    <row r="387" spans="1:24" s="51" customFormat="1">
      <c r="A387" s="46" t="s">
        <v>680</v>
      </c>
      <c r="B387" s="47" t="s">
        <v>1665</v>
      </c>
      <c r="C387" s="46" t="s">
        <v>1662</v>
      </c>
      <c r="D387" s="46" t="s">
        <v>20</v>
      </c>
      <c r="E387" s="47" t="s">
        <v>720</v>
      </c>
      <c r="F387" s="48"/>
      <c r="G387" s="47" t="s">
        <v>404</v>
      </c>
      <c r="H387" s="46"/>
      <c r="I387" s="46"/>
      <c r="J387" s="46" t="s">
        <v>1452</v>
      </c>
      <c r="K387" s="47" t="s">
        <v>1669</v>
      </c>
      <c r="L387" s="52" t="str">
        <f>IF(M387&lt;=0.9,HYPERLINK("http://www.lxhausys.co.kr/popup/rn/download/downloadPopup.jsp?from=plwindow&amp;uu=/upload/window/REPORT/LXH-EA26-034 F-230WS-224FFGG1A5.pdf","1등급"),IF(M387&lt;=1.2,HYPERLINK("http://www.lxhausys.co.kr/popup/rn/download/downloadPopup.jsp?from=plwindow&amp;uu=/upload/window/REPORT/LXH-EA26-034 F-230WS-224FFGG1A5.pdf","2등급"),IF(M387&lt;=1.8,HYPERLINK("http://www.lxhausys.co.kr/popup/rn/download/downloadPopup.jsp?from=plwindow&amp;uu=/upload/window/REPORT/LXH-EA26-034 F-230WS-224FFGG1A5.pdf","3등급"),IF(M387&lt;=2.3,HYPERLINK("http://www.lxhausys.co.kr/popup/rn/download/downloadPopup.jsp?from=plwindow&amp;uu=/upload/window/REPORT/LXH-EA26-034 F-230WS-224FFGG1A5.pdf","4등급"),IF(M387&lt;=2.8,HYPERLINK("http://www.lxhausys.co.kr/popup/rn/download/downloadPopup.jsp?from=plwindow&amp;uu=/upload/window/REPORT/LXH-EA26-034 F-230WS-224FFGG1A5.pdf","5등급"),HYPERLINK("http://www.lxhausys.co.kr/popup/rn/download/downloadPopup.jsp?from=plwindow&amp;uu=/upload/window/REPORT/LXH-EA26-034 F-230WS-224FFGG1A5.pdf","등급외"))))))</f>
        <v>5등급</v>
      </c>
      <c r="M387" s="49">
        <v>2.7690000000000001</v>
      </c>
      <c r="N387" s="49">
        <v>1.55</v>
      </c>
      <c r="O387" s="46"/>
      <c r="P387" s="46" t="s">
        <v>613</v>
      </c>
      <c r="Q387" s="46" t="s">
        <v>19</v>
      </c>
      <c r="R387" s="46" t="s">
        <v>19</v>
      </c>
      <c r="S387" s="46" t="s">
        <v>19</v>
      </c>
      <c r="T387" s="46" t="s">
        <v>19</v>
      </c>
      <c r="U387" s="46" t="s">
        <v>19</v>
      </c>
      <c r="V387" s="46" t="s">
        <v>19</v>
      </c>
      <c r="W387" s="46" t="s">
        <v>19</v>
      </c>
      <c r="X387" s="46" t="s">
        <v>75</v>
      </c>
    </row>
    <row r="388" spans="1:24" s="56" customFormat="1">
      <c r="A388" s="52" t="s">
        <v>1671</v>
      </c>
      <c r="B388" s="53" t="s">
        <v>1674</v>
      </c>
      <c r="C388" s="52" t="s">
        <v>1685</v>
      </c>
      <c r="D388" s="52" t="s">
        <v>20</v>
      </c>
      <c r="E388" s="53" t="s">
        <v>1693</v>
      </c>
      <c r="F388" s="54" t="s">
        <v>1694</v>
      </c>
      <c r="G388" s="53" t="s">
        <v>404</v>
      </c>
      <c r="H388" s="52"/>
      <c r="I388" s="52"/>
      <c r="J388" s="52" t="s">
        <v>1410</v>
      </c>
      <c r="K388" s="53" t="s">
        <v>1673</v>
      </c>
      <c r="L388" s="52" t="str">
        <f>IF(M388&lt;=0.9,HYPERLINK("http://www.lxhausys.co.kr/popup/rn/download/downloadPopup.jsp?from=plwindow&amp;uu=/upload/window/REPORT/LXH-EA26-038 F-250D-466NGGS2R5.pdf","1등급"),IF(M388&lt;=1.2,HYPERLINK("http://www.lxhausys.co.kr/popup/rn/download/downloadPopup.jsp?from=plwindow&amp;uu=/upload/window/REPORT/LXH-EA26-038 F-250D-466NGGS2R5.pdf","2등급"),IF(M388&lt;=1.8,HYPERLINK("http://www.lxhausys.co.kr/popup/rn/download/downloadPopup.jsp?from=plwindow&amp;uu=/upload/window/REPORT/LXH-EA26-038 F-250D-466NGGS2R5.pdf","3등급"),IF(M388&lt;=2.3,HYPERLINK("http://www.lxhausys.co.kr/popup/rn/download/downloadPopup.jsp?from=plwindow&amp;uu=/upload/window/REPORT/LXH-EA26-038 F-250D-466NGGS2R5.pdf","4등급"),IF(M388&lt;=2.8,HYPERLINK("http://www.lxhausys.co.kr/popup/rn/download/downloadPopup.jsp?from=plwindow&amp;uu=/upload/window/REPORT/LXH-EA26-038 F-250D-466NGGS2R5.pdf","5등급"),HYPERLINK("http://www.lxhausys.co.kr/popup/rn/download/downloadPopup.jsp?from=plwindow&amp;uu=/upload/window/REPORT/LXH-EA26-038 F-250D-466NGGS2R5.pdf","등급외"))))))</f>
        <v>1등급</v>
      </c>
      <c r="M388" s="55">
        <v>0.60299999999999998</v>
      </c>
      <c r="N388" s="55">
        <v>0.75</v>
      </c>
      <c r="O388" s="52"/>
      <c r="P388" s="52" t="s">
        <v>619</v>
      </c>
      <c r="Q388" s="52" t="s">
        <v>19</v>
      </c>
      <c r="R388" s="52" t="s">
        <v>19</v>
      </c>
      <c r="S388" s="52" t="s">
        <v>19</v>
      </c>
      <c r="T388" s="52" t="s">
        <v>19</v>
      </c>
      <c r="U388" s="52" t="s">
        <v>19</v>
      </c>
      <c r="V388" s="52" t="s">
        <v>19</v>
      </c>
      <c r="W388" s="52" t="s">
        <v>19</v>
      </c>
      <c r="X388" s="52" t="s">
        <v>75</v>
      </c>
    </row>
    <row r="389" spans="1:24" s="56" customFormat="1">
      <c r="A389" s="52" t="s">
        <v>1671</v>
      </c>
      <c r="B389" s="53" t="s">
        <v>1676</v>
      </c>
      <c r="C389" s="52" t="s">
        <v>1686</v>
      </c>
      <c r="D389" s="52" t="s">
        <v>20</v>
      </c>
      <c r="E389" s="58" t="s">
        <v>1695</v>
      </c>
      <c r="F389" s="54" t="s">
        <v>1694</v>
      </c>
      <c r="G389" s="53" t="s">
        <v>404</v>
      </c>
      <c r="H389" s="52"/>
      <c r="I389" s="52"/>
      <c r="J389" s="52" t="s">
        <v>1410</v>
      </c>
      <c r="K389" s="53" t="s">
        <v>1675</v>
      </c>
      <c r="L389" s="52" t="str">
        <f>IF(M389&lt;=0.9,HYPERLINK("http://www.lxhausys.co.kr/popup/rn/download/downloadPopup.jsp?from=plwindow&amp;uu=/upload/window/REPORT/LXH-EA26-039 F-250D-466KGGS2R5.pdf","1등급"),IF(M389&lt;=1.2,HYPERLINK("http://www.lxhausys.co.kr/popup/rn/download/downloadPopup.jsp?from=plwindow&amp;uu=/upload/window/REPORT/LXH-EA26-039 F-250D-466KGGS2R5.pdf","2등급"),IF(M389&lt;=1.8,HYPERLINK("http://www.lxhausys.co.kr/popup/rn/download/downloadPopup.jsp?from=plwindow&amp;uu=/upload/window/REPORT/LXH-EA26-039 F-250D-466KGGS2R5.pdf","3등급"),IF(M389&lt;=2.3,HYPERLINK("http://www.lxhausys.co.kr/popup/rn/download/downloadPopup.jsp?from=plwindow&amp;uu=/upload/window/REPORT/LXH-EA26-039 F-250D-466KGGS2R5.pdf","4등급"),IF(M389&lt;=2.8,HYPERLINK("http://www.lxhausys.co.kr/popup/rn/download/downloadPopup.jsp?from=plwindow&amp;uu=/upload/window/REPORT/LXH-EA26-039 F-250D-466KGGS2R5.pdf","5등급"),HYPERLINK("http://www.lxhausys.co.kr/popup/rn/download/downloadPopup.jsp?from=plwindow&amp;uu=/upload/window/REPORT/LXH-EA26-039 F-250D-466KGGS2R5.pdf","등급외"))))))</f>
        <v>1등급</v>
      </c>
      <c r="M389" s="55">
        <v>0.56100000000000005</v>
      </c>
      <c r="N389" s="55">
        <v>0.8</v>
      </c>
      <c r="O389" s="52"/>
      <c r="P389" s="52" t="s">
        <v>619</v>
      </c>
      <c r="Q389" s="52" t="s">
        <v>19</v>
      </c>
      <c r="R389" s="52" t="s">
        <v>19</v>
      </c>
      <c r="S389" s="52" t="s">
        <v>19</v>
      </c>
      <c r="T389" s="52" t="s">
        <v>19</v>
      </c>
      <c r="U389" s="52" t="s">
        <v>19</v>
      </c>
      <c r="V389" s="52" t="s">
        <v>19</v>
      </c>
      <c r="W389" s="52" t="s">
        <v>19</v>
      </c>
      <c r="X389" s="52" t="s">
        <v>75</v>
      </c>
    </row>
    <row r="390" spans="1:24" s="56" customFormat="1">
      <c r="A390" s="52" t="s">
        <v>1672</v>
      </c>
      <c r="B390" s="53" t="s">
        <v>1678</v>
      </c>
      <c r="C390" s="52" t="s">
        <v>1687</v>
      </c>
      <c r="D390" s="52" t="s">
        <v>20</v>
      </c>
      <c r="E390" s="53" t="s">
        <v>1691</v>
      </c>
      <c r="F390" s="54"/>
      <c r="G390" s="53" t="s">
        <v>404</v>
      </c>
      <c r="H390" s="52"/>
      <c r="I390" s="52"/>
      <c r="J390" s="52" t="s">
        <v>1410</v>
      </c>
      <c r="K390" s="53" t="s">
        <v>1677</v>
      </c>
      <c r="L390" s="52" t="str">
        <f>IF(M390&lt;=0.9,HYPERLINK("http://www.lxhausys.co.kr/popup/rn/download/downloadPopup.jsp?from=plwindow&amp;uu=/upload/window/REPORT/LXH-EA26-040 F-140D-226FFKG1R5.pdf","1등급"),IF(M390&lt;=1.2,HYPERLINK("http://www.lxhausys.co.kr/popup/rn/download/downloadPopup.jsp?from=plwindow&amp;uu=/upload/window/REPORT/LXH-EA26-040 F-140D-226FFKG1R5.pdf","2등급"),IF(M390&lt;=1.8,HYPERLINK("http://www.lxhausys.co.kr/popup/rn/download/downloadPopup.jsp?from=plwindow&amp;uu=/upload/window/REPORT/LXH-EA26-040 F-140D-226FFKG1R5.pdf","3등급"),IF(M390&lt;=2.3,HYPERLINK("http://www.lxhausys.co.kr/popup/rn/download/downloadPopup.jsp?from=plwindow&amp;uu=/upload/window/REPORT/LXH-EA26-040 F-140D-226FFKG1R5.pdf","4등급"),IF(M390&lt;=2.8,HYPERLINK("http://www.lxhausys.co.kr/popup/rn/download/downloadPopup.jsp?from=plwindow&amp;uu=/upload/window/REPORT/LXH-EA26-040 F-140D-226FFKG1R5.pdf","5등급"),HYPERLINK("http://www.lxhausys.co.kr/popup/rn/download/downloadPopup.jsp?from=plwindow&amp;uu=/upload/window/REPORT/LXH-EA26-040 F-140D-226FFKG1R5.pdf","등급외"))))))</f>
        <v>3등급</v>
      </c>
      <c r="M390" s="55">
        <v>1.6970000000000001</v>
      </c>
      <c r="N390" s="55">
        <v>1.41</v>
      </c>
      <c r="O390" s="52"/>
      <c r="P390" s="52" t="s">
        <v>613</v>
      </c>
      <c r="Q390" s="52" t="s">
        <v>19</v>
      </c>
      <c r="R390" s="52" t="s">
        <v>19</v>
      </c>
      <c r="S390" s="52" t="s">
        <v>19</v>
      </c>
      <c r="T390" s="52" t="s">
        <v>19</v>
      </c>
      <c r="U390" s="52" t="s">
        <v>19</v>
      </c>
      <c r="V390" s="52" t="s">
        <v>19</v>
      </c>
      <c r="W390" s="52" t="s">
        <v>19</v>
      </c>
      <c r="X390" s="52" t="s">
        <v>75</v>
      </c>
    </row>
    <row r="391" spans="1:24" s="56" customFormat="1">
      <c r="A391" s="52" t="s">
        <v>1671</v>
      </c>
      <c r="B391" s="53" t="s">
        <v>1680</v>
      </c>
      <c r="C391" s="52" t="s">
        <v>1688</v>
      </c>
      <c r="D391" s="52" t="s">
        <v>20</v>
      </c>
      <c r="E391" s="53" t="s">
        <v>1695</v>
      </c>
      <c r="F391" s="54" t="s">
        <v>1696</v>
      </c>
      <c r="G391" s="53" t="s">
        <v>404</v>
      </c>
      <c r="H391" s="52"/>
      <c r="I391" s="52"/>
      <c r="J391" s="52" t="s">
        <v>1410</v>
      </c>
      <c r="K391" s="53" t="s">
        <v>1679</v>
      </c>
      <c r="L391" s="52" t="str">
        <f>IF(M391&lt;=0.9,HYPERLINK("http://www.lxhausys.co.kr/popup/rn/download/downloadPopup.jsp?from=plwindow&amp;uu=/upload/window/REPORT/LXH-EA26-041 F-250D-466KGGG1R5.pdf","1등급"),IF(M391&lt;=1.2,HYPERLINK("http://www.lxhausys.co.kr/popup/rn/download/downloadPopup.jsp?from=plwindow&amp;uu=/upload/window/REPORT/LXH-EA26-041 F-250D-466KGGG1R5.pdf","2등급"),IF(M391&lt;=1.8,HYPERLINK("http://www.lxhausys.co.kr/popup/rn/download/downloadPopup.jsp?from=plwindow&amp;uu=/upload/window/REPORT/LXH-EA26-041 F-250D-466KGGG1R5.pdf","3등급"),IF(M391&lt;=2.3,HYPERLINK("http://www.lxhausys.co.kr/popup/rn/download/downloadPopup.jsp?from=plwindow&amp;uu=/upload/window/REPORT/LXH-EA26-041 F-250D-466KGGG1R5.pdf","4등급"),IF(M391&lt;=2.8,HYPERLINK("http://www.lxhausys.co.kr/popup/rn/download/downloadPopup.jsp?from=plwindow&amp;uu=/upload/window/REPORT/LXH-EA26-041 F-250D-466KGGG1R5.pdf","5등급"),HYPERLINK("http://www.lxhausys.co.kr/popup/rn/download/downloadPopup.jsp?from=plwindow&amp;uu=/upload/window/REPORT/LXH-EA26-041 F-250D-466KGGG1R5.pdf","등급외"))))))</f>
        <v>1등급</v>
      </c>
      <c r="M391" s="55">
        <v>0.83</v>
      </c>
      <c r="N391" s="55">
        <v>0.74</v>
      </c>
      <c r="O391" s="52"/>
      <c r="P391" s="52" t="s">
        <v>619</v>
      </c>
      <c r="Q391" s="52" t="s">
        <v>19</v>
      </c>
      <c r="R391" s="52" t="s">
        <v>19</v>
      </c>
      <c r="S391" s="52" t="s">
        <v>19</v>
      </c>
      <c r="T391" s="52" t="s">
        <v>19</v>
      </c>
      <c r="U391" s="52" t="s">
        <v>19</v>
      </c>
      <c r="V391" s="52" t="s">
        <v>19</v>
      </c>
      <c r="W391" s="52" t="s">
        <v>19</v>
      </c>
      <c r="X391" s="52" t="s">
        <v>75</v>
      </c>
    </row>
    <row r="392" spans="1:24" s="56" customFormat="1">
      <c r="A392" s="52" t="s">
        <v>1671</v>
      </c>
      <c r="B392" s="53" t="s">
        <v>1682</v>
      </c>
      <c r="C392" s="52" t="s">
        <v>1689</v>
      </c>
      <c r="D392" s="52" t="s">
        <v>20</v>
      </c>
      <c r="E392" s="53" t="s">
        <v>1693</v>
      </c>
      <c r="F392" s="54" t="s">
        <v>1697</v>
      </c>
      <c r="G392" s="53" t="s">
        <v>404</v>
      </c>
      <c r="H392" s="52"/>
      <c r="I392" s="52"/>
      <c r="J392" s="52" t="s">
        <v>1410</v>
      </c>
      <c r="K392" s="53" t="s">
        <v>1681</v>
      </c>
      <c r="L392" s="52" t="str">
        <f>IF(M392&lt;=0.9,HYPERLINK("http://www.lxhausys.co.kr/popup/rn/download/downloadPopup.jsp?from=plwindow&amp;uu=/upload/window/REPORT/LXH-EA26-042 F-250D-466NGGG1R5.pdf","1등급"),IF(M392&lt;=1.2,HYPERLINK("http://www.lxhausys.co.kr/popup/rn/download/downloadPopup.jsp?from=plwindow&amp;uu=/upload/window/REPORT/LXH-EA26-042 F-250D-466NGGG1R5.pdf","2등급"),IF(M392&lt;=1.8,HYPERLINK("http://www.lxhausys.co.kr/popup/rn/download/downloadPopup.jsp?from=plwindow&amp;uu=/upload/window/REPORT/LXH-EA26-042 F-250D-466NGGG1R5.pdf","3등급"),IF(M392&lt;=2.3,HYPERLINK("http://www.lxhausys.co.kr/popup/rn/download/downloadPopup.jsp?from=plwindow&amp;uu=/upload/window/REPORT/LXH-EA26-042 F-250D-466NGGG1R5.pdf","4등급"),IF(M392&lt;=2.8,HYPERLINK("http://www.lxhausys.co.kr/popup/rn/download/downloadPopup.jsp?from=plwindow&amp;uu=/upload/window/REPORT/LXH-EA26-042 F-250D-466NGGG1R5.pdf","5등급"),HYPERLINK("http://www.lxhausys.co.kr/popup/rn/download/downloadPopup.jsp?from=plwindow&amp;uu=/upload/window/REPORT/LXH-EA26-042 F-250D-466NGGG1R5.pdf","등급외"))))))</f>
        <v>1등급</v>
      </c>
      <c r="M392" s="55">
        <v>0.878</v>
      </c>
      <c r="N392" s="55">
        <v>0.8</v>
      </c>
      <c r="O392" s="52"/>
      <c r="P392" s="52" t="s">
        <v>619</v>
      </c>
      <c r="Q392" s="52" t="s">
        <v>19</v>
      </c>
      <c r="R392" s="52" t="s">
        <v>19</v>
      </c>
      <c r="S392" s="52" t="s">
        <v>19</v>
      </c>
      <c r="T392" s="52" t="s">
        <v>19</v>
      </c>
      <c r="U392" s="52" t="s">
        <v>19</v>
      </c>
      <c r="V392" s="52" t="s">
        <v>19</v>
      </c>
      <c r="W392" s="52" t="s">
        <v>19</v>
      </c>
      <c r="X392" s="52" t="s">
        <v>75</v>
      </c>
    </row>
    <row r="393" spans="1:24" s="56" customFormat="1">
      <c r="A393" s="52" t="s">
        <v>1672</v>
      </c>
      <c r="B393" s="53" t="s">
        <v>1684</v>
      </c>
      <c r="C393" s="52" t="s">
        <v>1690</v>
      </c>
      <c r="D393" s="52" t="s">
        <v>20</v>
      </c>
      <c r="E393" s="53" t="s">
        <v>1692</v>
      </c>
      <c r="F393" s="54"/>
      <c r="G393" s="53" t="s">
        <v>404</v>
      </c>
      <c r="H393" s="52"/>
      <c r="I393" s="52"/>
      <c r="J393" s="52" t="s">
        <v>1410</v>
      </c>
      <c r="K393" s="53" t="s">
        <v>1683</v>
      </c>
      <c r="L393" s="52" t="str">
        <f>IF(M393&lt;=0.9,HYPERLINK("http://www.lxhausys.co.kr/popup/rn/download/downloadPopup.jsp?from=plwindow&amp;uu=/upload/window/REPORT/LXH-EA26-043 F-140D-226FFNG1R5.pdf","1등급"),IF(M393&lt;=1.2,HYPERLINK("http://www.lxhausys.co.kr/popup/rn/download/downloadPopup.jsp?from=plwindow&amp;uu=/upload/window/REPORT/LXH-EA26-043 F-140D-226FFNG1R5.pdf","2등급"),IF(M393&lt;=1.8,HYPERLINK("http://www.lxhausys.co.kr/popup/rn/download/downloadPopup.jsp?from=plwindow&amp;uu=/upload/window/REPORT/LXH-EA26-043 F-140D-226FFNG1R5.pdf","3등급"),IF(M393&lt;=2.3,HYPERLINK("http://www.lxhausys.co.kr/popup/rn/download/downloadPopup.jsp?from=plwindow&amp;uu=/upload/window/REPORT/LXH-EA26-043 F-140D-226FFNG1R5.pdf","4등급"),IF(M393&lt;=2.8,HYPERLINK("http://www.lxhausys.co.kr/popup/rn/download/downloadPopup.jsp?from=plwindow&amp;uu=/upload/window/REPORT/LXH-EA26-043 F-140D-226FFNG1R5.pdf","5등급"),HYPERLINK("http://www.lxhausys.co.kr/popup/rn/download/downloadPopup.jsp?from=plwindow&amp;uu=/upload/window/REPORT/LXH-EA26-043 F-140D-226FFNG1R5.pdf","등급외"))))))</f>
        <v>3등급</v>
      </c>
      <c r="M393" s="55">
        <v>1.7210000000000001</v>
      </c>
      <c r="N393" s="55">
        <v>1.46</v>
      </c>
      <c r="O393" s="52"/>
      <c r="P393" s="52" t="s">
        <v>613</v>
      </c>
      <c r="Q393" s="52" t="s">
        <v>19</v>
      </c>
      <c r="R393" s="52" t="s">
        <v>19</v>
      </c>
      <c r="S393" s="52" t="s">
        <v>19</v>
      </c>
      <c r="T393" s="52" t="s">
        <v>19</v>
      </c>
      <c r="U393" s="52" t="s">
        <v>19</v>
      </c>
      <c r="V393" s="52" t="s">
        <v>19</v>
      </c>
      <c r="W393" s="52" t="s">
        <v>19</v>
      </c>
      <c r="X393" s="52" t="s">
        <v>75</v>
      </c>
    </row>
  </sheetData>
  <autoFilter ref="A1:X384" xr:uid="{5735204F-656B-491B-9FDC-A48113D1E4F5}"/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120"/>
  <sheetViews>
    <sheetView zoomScale="70" zoomScaleNormal="70" workbookViewId="0">
      <pane xSplit="2" ySplit="1" topLeftCell="C95" activePane="bottomRight" state="frozen"/>
      <selection pane="topRight"/>
      <selection pane="bottomLeft"/>
      <selection pane="bottomRight" activeCell="E112" sqref="E112"/>
    </sheetView>
  </sheetViews>
  <sheetFormatPr defaultColWidth="0" defaultRowHeight="16.5" outlineLevelCol="1"/>
  <cols>
    <col min="1" max="1" width="36.75" customWidth="1"/>
    <col min="2" max="2" width="13" customWidth="1"/>
    <col min="3" max="3" width="24" customWidth="1"/>
    <col min="4" max="4" width="18" customWidth="1"/>
    <col min="5" max="6" width="26" customWidth="1"/>
    <col min="7" max="7" width="14.75" bestFit="1" customWidth="1"/>
    <col min="8" max="14" width="12" customWidth="1"/>
    <col min="15" max="15" width="18" customWidth="1"/>
    <col min="16" max="18" width="12" customWidth="1"/>
    <col min="19" max="24" width="12" hidden="1" customWidth="1" outlineLevel="1"/>
    <col min="25" max="16384" width="0" hidden="1" outlineLevel="1"/>
  </cols>
  <sheetData>
    <row r="1" spans="1:24">
      <c r="A1" s="1" t="s">
        <v>289</v>
      </c>
      <c r="B1" s="1" t="s">
        <v>290</v>
      </c>
      <c r="C1" s="1" t="s">
        <v>291</v>
      </c>
      <c r="D1" s="1" t="s">
        <v>292</v>
      </c>
      <c r="E1" s="1" t="s">
        <v>293</v>
      </c>
      <c r="F1" s="1" t="s">
        <v>294</v>
      </c>
      <c r="G1" s="4" t="s">
        <v>295</v>
      </c>
      <c r="H1" s="31" t="s">
        <v>296</v>
      </c>
      <c r="I1" s="31" t="s">
        <v>297</v>
      </c>
      <c r="J1" s="6" t="s">
        <v>298</v>
      </c>
      <c r="K1" s="31" t="s">
        <v>299</v>
      </c>
      <c r="L1" s="31" t="s">
        <v>300</v>
      </c>
      <c r="M1" s="6" t="s">
        <v>301</v>
      </c>
      <c r="N1" s="6" t="s">
        <v>302</v>
      </c>
      <c r="O1" s="6" t="s">
        <v>303</v>
      </c>
      <c r="P1" s="31" t="s">
        <v>304</v>
      </c>
      <c r="Q1" s="6" t="s">
        <v>305</v>
      </c>
      <c r="R1" s="6" t="s">
        <v>603</v>
      </c>
      <c r="S1" s="2" t="s">
        <v>306</v>
      </c>
      <c r="T1" s="7" t="s">
        <v>307</v>
      </c>
      <c r="U1" s="7" t="s">
        <v>308</v>
      </c>
      <c r="V1" s="7" t="s">
        <v>309</v>
      </c>
      <c r="W1" s="7" t="s">
        <v>310</v>
      </c>
      <c r="X1" s="7" t="s">
        <v>311</v>
      </c>
    </row>
    <row r="2" spans="1:24">
      <c r="A2" t="s">
        <v>312</v>
      </c>
      <c r="B2" t="s">
        <v>19</v>
      </c>
      <c r="C2" t="s">
        <v>19</v>
      </c>
      <c r="D2" t="s">
        <v>19</v>
      </c>
      <c r="E2" t="s">
        <v>19</v>
      </c>
      <c r="F2" t="s">
        <v>19</v>
      </c>
      <c r="G2" s="5" t="s">
        <v>313</v>
      </c>
      <c r="H2" s="5" t="s">
        <v>19</v>
      </c>
      <c r="I2" s="5" t="s">
        <v>19</v>
      </c>
      <c r="J2" s="5" t="s">
        <v>19</v>
      </c>
      <c r="K2" s="5" t="s">
        <v>19</v>
      </c>
      <c r="L2" s="5" t="s">
        <v>19</v>
      </c>
      <c r="M2" s="5" t="s">
        <v>19</v>
      </c>
      <c r="N2" s="5" t="s">
        <v>19</v>
      </c>
      <c r="O2" s="5" t="s">
        <v>19</v>
      </c>
      <c r="P2" s="5" t="str">
        <f>HYPERLINK("http://www.lghausys.co.kr/popup/rn/download/downloadPopup.jsp?from=plwindow&amp;uu=/upload/window/INFO/REFLET-Catalogue(B2C).pdf","다운로드")</f>
        <v>다운로드</v>
      </c>
      <c r="Q2" s="5" t="s">
        <v>19</v>
      </c>
      <c r="R2" s="5" t="s">
        <v>19</v>
      </c>
      <c r="S2" s="5" t="s">
        <v>19</v>
      </c>
      <c r="T2" t="s">
        <v>19</v>
      </c>
      <c r="U2" t="s">
        <v>19</v>
      </c>
      <c r="V2" t="s">
        <v>19</v>
      </c>
      <c r="W2" t="s">
        <v>19</v>
      </c>
      <c r="X2" t="s">
        <v>19</v>
      </c>
    </row>
    <row r="3" spans="1:24">
      <c r="A3" t="s">
        <v>314</v>
      </c>
      <c r="B3" t="s">
        <v>19</v>
      </c>
      <c r="C3" t="s">
        <v>19</v>
      </c>
      <c r="D3" t="s">
        <v>19</v>
      </c>
      <c r="E3" t="s">
        <v>19</v>
      </c>
      <c r="F3" t="s">
        <v>19</v>
      </c>
      <c r="G3" s="5" t="s">
        <v>315</v>
      </c>
      <c r="H3" s="5" t="s">
        <v>19</v>
      </c>
      <c r="I3" s="5" t="s">
        <v>19</v>
      </c>
      <c r="J3" s="5" t="s">
        <v>19</v>
      </c>
      <c r="K3" s="5" t="s">
        <v>19</v>
      </c>
      <c r="L3" s="5" t="s">
        <v>19</v>
      </c>
      <c r="M3" s="5" t="s">
        <v>19</v>
      </c>
      <c r="N3" s="5" t="s">
        <v>19</v>
      </c>
      <c r="O3" s="5" t="s">
        <v>19</v>
      </c>
      <c r="P3" s="5" t="str">
        <f>HYPERLINK("http://www.lghausys.co.kr/popup/rn/download/downloadPopup.jsp?from=plwindow&amp;uu=/upload/window/INFO/REFLET-Catalogue(B2B).pdf","다운로드")</f>
        <v>다운로드</v>
      </c>
      <c r="Q3" s="5" t="s">
        <v>19</v>
      </c>
      <c r="R3" s="5" t="s">
        <v>19</v>
      </c>
      <c r="S3" s="5" t="s">
        <v>19</v>
      </c>
      <c r="T3" t="s">
        <v>19</v>
      </c>
      <c r="U3" t="s">
        <v>19</v>
      </c>
      <c r="V3" t="s">
        <v>19</v>
      </c>
      <c r="W3" t="s">
        <v>19</v>
      </c>
      <c r="X3" t="s">
        <v>19</v>
      </c>
    </row>
    <row r="4" spans="1:24">
      <c r="A4" t="s">
        <v>316</v>
      </c>
      <c r="B4" t="s">
        <v>19</v>
      </c>
      <c r="C4" t="s">
        <v>19</v>
      </c>
      <c r="D4" t="s">
        <v>19</v>
      </c>
      <c r="E4" t="s">
        <v>19</v>
      </c>
      <c r="F4" t="s">
        <v>19</v>
      </c>
      <c r="G4" s="5" t="s">
        <v>317</v>
      </c>
      <c r="H4" s="5" t="s">
        <v>19</v>
      </c>
      <c r="I4" s="5" t="s">
        <v>19</v>
      </c>
      <c r="J4" s="5" t="s">
        <v>19</v>
      </c>
      <c r="K4" s="5" t="s">
        <v>19</v>
      </c>
      <c r="L4" s="5" t="s">
        <v>19</v>
      </c>
      <c r="M4" s="5" t="s">
        <v>19</v>
      </c>
      <c r="N4" s="5" t="s">
        <v>19</v>
      </c>
      <c r="O4" s="5" t="s">
        <v>19</v>
      </c>
      <c r="P4" s="5" t="str">
        <f>HYPERLINK("http://www.lghausys.co.kr/popup/rn/download/downloadPopup.jsp?from=plwindow&amp;uu=/upload/window/INFO/REFLET-DecoSheet.pdf","다운로드")</f>
        <v>다운로드</v>
      </c>
      <c r="Q4" s="5" t="s">
        <v>19</v>
      </c>
      <c r="R4" s="5" t="s">
        <v>19</v>
      </c>
      <c r="S4" s="5" t="s">
        <v>19</v>
      </c>
      <c r="T4" t="s">
        <v>19</v>
      </c>
      <c r="U4" t="s">
        <v>19</v>
      </c>
      <c r="V4" t="s">
        <v>19</v>
      </c>
      <c r="W4" t="s">
        <v>19</v>
      </c>
      <c r="X4" t="s">
        <v>19</v>
      </c>
    </row>
    <row r="5" spans="1:24">
      <c r="A5" t="s">
        <v>318</v>
      </c>
      <c r="B5" t="s">
        <v>19</v>
      </c>
      <c r="C5" t="s">
        <v>19</v>
      </c>
      <c r="D5" t="s">
        <v>19</v>
      </c>
      <c r="E5" t="s">
        <v>19</v>
      </c>
      <c r="F5" t="s">
        <v>19</v>
      </c>
      <c r="G5" s="5" t="s">
        <v>317</v>
      </c>
      <c r="H5" s="5" t="s">
        <v>19</v>
      </c>
      <c r="I5" s="5" t="s">
        <v>19</v>
      </c>
      <c r="J5" s="5" t="s">
        <v>19</v>
      </c>
      <c r="K5" s="5" t="s">
        <v>19</v>
      </c>
      <c r="L5" s="5" t="s">
        <v>19</v>
      </c>
      <c r="M5" s="5" t="s">
        <v>19</v>
      </c>
      <c r="N5" s="5" t="s">
        <v>19</v>
      </c>
      <c r="O5" s="5" t="s">
        <v>19</v>
      </c>
      <c r="P5" s="5" t="str">
        <f>HYPERLINK("http://www.lghausys.co.kr/popup/rn/download/downloadPopup.jsp?from=plwindow&amp;uu=/upload/window/INFO/REFLET-UserGuide.pdf","다운로드")</f>
        <v>다운로드</v>
      </c>
      <c r="Q5" s="5" t="s">
        <v>19</v>
      </c>
      <c r="R5" s="5" t="s">
        <v>19</v>
      </c>
      <c r="S5" s="5" t="s">
        <v>19</v>
      </c>
      <c r="T5" t="s">
        <v>19</v>
      </c>
      <c r="U5" t="s">
        <v>19</v>
      </c>
      <c r="V5" t="s">
        <v>19</v>
      </c>
      <c r="W5" t="s">
        <v>19</v>
      </c>
      <c r="X5" t="s">
        <v>19</v>
      </c>
    </row>
    <row r="6" spans="1:24">
      <c r="A6" t="s">
        <v>319</v>
      </c>
      <c r="B6" t="s">
        <v>19</v>
      </c>
      <c r="C6" t="s">
        <v>19</v>
      </c>
      <c r="D6" t="s">
        <v>19</v>
      </c>
      <c r="E6" t="s">
        <v>19</v>
      </c>
      <c r="F6" t="s">
        <v>19</v>
      </c>
      <c r="G6" s="5" t="s">
        <v>317</v>
      </c>
      <c r="H6" s="5" t="s">
        <v>19</v>
      </c>
      <c r="I6" s="5" t="s">
        <v>19</v>
      </c>
      <c r="J6" s="5" t="s">
        <v>19</v>
      </c>
      <c r="K6" s="5" t="s">
        <v>19</v>
      </c>
      <c r="L6" s="5" t="s">
        <v>19</v>
      </c>
      <c r="M6" s="5" t="s">
        <v>19</v>
      </c>
      <c r="N6" s="5" t="s">
        <v>19</v>
      </c>
      <c r="O6" s="5" t="s">
        <v>19</v>
      </c>
      <c r="P6" s="5" t="str">
        <f>HYPERLINK("http://www.lghausys.co.kr/popup/rn/download/downloadPopup.jsp?from=plwindow&amp;uu=/upload/window/INFO/REFLET-UniqueProgress.pdf","다운로드")</f>
        <v>다운로드</v>
      </c>
      <c r="Q6" s="5" t="s">
        <v>19</v>
      </c>
      <c r="R6" s="5" t="s">
        <v>19</v>
      </c>
      <c r="S6" s="5" t="s">
        <v>19</v>
      </c>
      <c r="T6" t="s">
        <v>19</v>
      </c>
      <c r="U6" t="s">
        <v>19</v>
      </c>
      <c r="V6" t="s">
        <v>19</v>
      </c>
      <c r="W6" t="s">
        <v>19</v>
      </c>
      <c r="X6" t="s">
        <v>19</v>
      </c>
    </row>
    <row r="7" spans="1:24">
      <c r="A7" t="s">
        <v>320</v>
      </c>
      <c r="B7" t="s">
        <v>19</v>
      </c>
      <c r="C7" t="s">
        <v>19</v>
      </c>
      <c r="D7" t="s">
        <v>19</v>
      </c>
      <c r="E7" t="s">
        <v>19</v>
      </c>
      <c r="F7" t="s">
        <v>19</v>
      </c>
      <c r="G7" s="5" t="s">
        <v>317</v>
      </c>
      <c r="H7" s="5" t="s">
        <v>19</v>
      </c>
      <c r="I7" s="5" t="s">
        <v>19</v>
      </c>
      <c r="J7" s="5" t="s">
        <v>19</v>
      </c>
      <c r="K7" s="5" t="s">
        <v>19</v>
      </c>
      <c r="L7" s="5" t="s">
        <v>19</v>
      </c>
      <c r="M7" s="5" t="s">
        <v>19</v>
      </c>
      <c r="N7" s="5" t="s">
        <v>19</v>
      </c>
      <c r="O7" s="5" t="s">
        <v>19</v>
      </c>
      <c r="P7" s="5" t="str">
        <f>HYPERLINK("http://www.lghausys.co.kr/popup/rn/download/downloadPopup.jsp?from=plwindow&amp;uu=/upload/window/INFO/REFLET-SafeUP.pdf","다운로드")</f>
        <v>다운로드</v>
      </c>
      <c r="Q7" s="5" t="s">
        <v>19</v>
      </c>
      <c r="R7" s="5" t="s">
        <v>19</v>
      </c>
      <c r="S7" s="5" t="str">
        <f>HYPERLINK("http://www.lghausys.co.kr/popup/rn/download/downloadPopup.jsp?from=plwindow&amp;uu=/upload/window/INFO/HELP-SafeUP.pdf","다운로드")</f>
        <v>다운로드</v>
      </c>
      <c r="T7" t="s">
        <v>19</v>
      </c>
      <c r="U7" t="s">
        <v>19</v>
      </c>
      <c r="V7" t="s">
        <v>19</v>
      </c>
      <c r="W7" t="s">
        <v>19</v>
      </c>
      <c r="X7" t="s">
        <v>19</v>
      </c>
    </row>
    <row r="8" spans="1:24">
      <c r="A8" t="s">
        <v>321</v>
      </c>
      <c r="B8" t="s">
        <v>19</v>
      </c>
      <c r="C8" t="s">
        <v>19</v>
      </c>
      <c r="D8" t="s">
        <v>19</v>
      </c>
      <c r="E8" t="s">
        <v>19</v>
      </c>
      <c r="F8" t="s">
        <v>19</v>
      </c>
      <c r="G8" s="5" t="s">
        <v>317</v>
      </c>
      <c r="H8" s="5" t="s">
        <v>19</v>
      </c>
      <c r="I8" s="5" t="s">
        <v>19</v>
      </c>
      <c r="J8" s="5" t="s">
        <v>19</v>
      </c>
      <c r="K8" s="5" t="s">
        <v>19</v>
      </c>
      <c r="L8" s="5" t="s">
        <v>19</v>
      </c>
      <c r="M8" s="5" t="s">
        <v>19</v>
      </c>
      <c r="N8" s="5" t="s">
        <v>19</v>
      </c>
      <c r="O8" s="5" t="s">
        <v>19</v>
      </c>
      <c r="P8" s="5" t="str">
        <f>HYPERLINK("http://www.lghausys.co.kr/popup/rn/download/downloadPopup.jsp?from=plwindow&amp;uu=/upload/window/INFO/REFLET-FreshUP.pdf","다운로드")</f>
        <v>다운로드</v>
      </c>
      <c r="Q8" s="5" t="s">
        <v>19</v>
      </c>
      <c r="R8" s="5" t="s">
        <v>19</v>
      </c>
      <c r="S8" s="5" t="str">
        <f>HYPERLINK("http://www.lghausys.co.kr/popup/rn/download/downloadPopup.jsp?from=plwindow&amp;uu=/upload/window/INFO/HELP-FreshUP.pdf","다운로드")</f>
        <v>다운로드</v>
      </c>
      <c r="T8" t="s">
        <v>19</v>
      </c>
      <c r="U8" t="s">
        <v>19</v>
      </c>
      <c r="V8" t="s">
        <v>19</v>
      </c>
      <c r="W8" t="s">
        <v>19</v>
      </c>
      <c r="X8" t="s">
        <v>19</v>
      </c>
    </row>
    <row r="9" spans="1:24">
      <c r="A9" t="s">
        <v>322</v>
      </c>
      <c r="B9" t="s">
        <v>19</v>
      </c>
      <c r="C9" t="s">
        <v>19</v>
      </c>
      <c r="D9" t="s">
        <v>19</v>
      </c>
      <c r="E9" t="s">
        <v>19</v>
      </c>
      <c r="F9" t="s">
        <v>19</v>
      </c>
      <c r="G9" s="5" t="s">
        <v>317</v>
      </c>
      <c r="H9" s="5" t="s">
        <v>19</v>
      </c>
      <c r="I9" s="5" t="s">
        <v>19</v>
      </c>
      <c r="J9" s="5" t="s">
        <v>19</v>
      </c>
      <c r="K9" s="5" t="s">
        <v>19</v>
      </c>
      <c r="L9" s="5" t="s">
        <v>19</v>
      </c>
      <c r="M9" s="5" t="s">
        <v>19</v>
      </c>
      <c r="N9" s="5" t="s">
        <v>19</v>
      </c>
      <c r="O9" s="5" t="s">
        <v>19</v>
      </c>
      <c r="P9" s="5" t="str">
        <f>HYPERLINK("http://www.lghausys.co.kr/popup/rn/download/downloadPopup.jsp?from=plwindow&amp;uu=/upload/window/INFO/REFLET-EnvironmentSign.pdf","다운로드")</f>
        <v>다운로드</v>
      </c>
      <c r="Q9" s="5" t="s">
        <v>19</v>
      </c>
      <c r="R9" s="5" t="s">
        <v>19</v>
      </c>
      <c r="S9" s="5" t="s">
        <v>19</v>
      </c>
      <c r="T9" t="s">
        <v>19</v>
      </c>
      <c r="U9" t="s">
        <v>19</v>
      </c>
      <c r="V9" t="s">
        <v>19</v>
      </c>
      <c r="W9" t="s">
        <v>19</v>
      </c>
      <c r="X9" t="s">
        <v>19</v>
      </c>
    </row>
    <row r="10" spans="1:24">
      <c r="A10" t="s">
        <v>323</v>
      </c>
      <c r="B10" t="s">
        <v>19</v>
      </c>
      <c r="C10" t="s">
        <v>19</v>
      </c>
      <c r="D10" t="s">
        <v>19</v>
      </c>
      <c r="E10" t="s">
        <v>19</v>
      </c>
      <c r="F10" t="s">
        <v>19</v>
      </c>
      <c r="G10" s="5" t="s">
        <v>317</v>
      </c>
      <c r="H10" s="5" t="s">
        <v>19</v>
      </c>
      <c r="I10" s="5" t="s">
        <v>19</v>
      </c>
      <c r="J10" s="5" t="s">
        <v>19</v>
      </c>
      <c r="K10" s="5" t="s">
        <v>19</v>
      </c>
      <c r="L10" s="5" t="s">
        <v>19</v>
      </c>
      <c r="M10" s="5" t="s">
        <v>19</v>
      </c>
      <c r="N10" s="5" t="s">
        <v>19</v>
      </c>
      <c r="O10" s="5" t="s">
        <v>19</v>
      </c>
      <c r="P10" s="5" t="str">
        <f>HYPERLINK("http://www.lghausys.co.kr/popup/rn/download/downloadPopup.jsp?from=plwindow&amp;uu=/upload/window/INFO/REFLET-CarbonEmission.pdf","다운로드")</f>
        <v>다운로드</v>
      </c>
      <c r="Q10" s="5" t="s">
        <v>19</v>
      </c>
      <c r="R10" s="5" t="s">
        <v>19</v>
      </c>
      <c r="S10" s="5" t="s">
        <v>19</v>
      </c>
      <c r="T10" t="s">
        <v>19</v>
      </c>
      <c r="U10" t="s">
        <v>19</v>
      </c>
      <c r="V10" t="s">
        <v>19</v>
      </c>
      <c r="W10" t="s">
        <v>19</v>
      </c>
      <c r="X10" t="s">
        <v>19</v>
      </c>
    </row>
    <row r="11" spans="1:24">
      <c r="A11" t="s">
        <v>324</v>
      </c>
      <c r="B11" t="s">
        <v>19</v>
      </c>
      <c r="C11" t="s">
        <v>19</v>
      </c>
      <c r="D11" t="s">
        <v>19</v>
      </c>
      <c r="E11" t="s">
        <v>19</v>
      </c>
      <c r="F11" t="s">
        <v>19</v>
      </c>
      <c r="G11" s="5" t="s">
        <v>317</v>
      </c>
      <c r="H11" s="5" t="s">
        <v>19</v>
      </c>
      <c r="I11" s="5" t="s">
        <v>19</v>
      </c>
      <c r="J11" s="5" t="s">
        <v>19</v>
      </c>
      <c r="K11" s="5" t="s">
        <v>19</v>
      </c>
      <c r="L11" s="5" t="s">
        <v>19</v>
      </c>
      <c r="M11" s="5" t="s">
        <v>19</v>
      </c>
      <c r="N11" s="5" t="s">
        <v>19</v>
      </c>
      <c r="O11" s="5" t="s">
        <v>19</v>
      </c>
      <c r="P11" s="5" t="str">
        <f>HYPERLINK("http://www.lghausys.co.kr/popup/rn/download/downloadPopup.jsp?from=plwindow&amp;uu=/upload/window/INFO/REFLET-HeavyMetal.pdf","다운로드")</f>
        <v>다운로드</v>
      </c>
      <c r="Q11" s="5" t="s">
        <v>19</v>
      </c>
      <c r="R11" s="5" t="s">
        <v>19</v>
      </c>
      <c r="S11" s="5" t="s">
        <v>19</v>
      </c>
      <c r="T11" t="s">
        <v>19</v>
      </c>
      <c r="U11" t="s">
        <v>19</v>
      </c>
      <c r="V11" t="s">
        <v>19</v>
      </c>
      <c r="W11" t="s">
        <v>19</v>
      </c>
      <c r="X11" t="s">
        <v>19</v>
      </c>
    </row>
    <row r="12" spans="1:24">
      <c r="A12" t="s">
        <v>325</v>
      </c>
      <c r="B12" t="s">
        <v>19</v>
      </c>
      <c r="C12" t="s">
        <v>19</v>
      </c>
      <c r="D12" t="s">
        <v>19</v>
      </c>
      <c r="E12" t="s">
        <v>19</v>
      </c>
      <c r="F12" t="s">
        <v>19</v>
      </c>
      <c r="G12" s="5" t="s">
        <v>317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  <c r="O12" s="5" t="s">
        <v>19</v>
      </c>
      <c r="P12" s="5" t="str">
        <f>HYPERLINK("http://www.lghausys.co.kr/popup/rn/download/downloadPopup.jsp?from=plwindow&amp;uu=/upload/window/INFO/REFLET-SelfExtinguish.pdf","다운로드")</f>
        <v>다운로드</v>
      </c>
      <c r="Q12" s="5" t="s">
        <v>19</v>
      </c>
      <c r="R12" s="5" t="s">
        <v>19</v>
      </c>
      <c r="S12" s="5" t="s">
        <v>19</v>
      </c>
      <c r="T12" t="s">
        <v>19</v>
      </c>
      <c r="U12" t="s">
        <v>19</v>
      </c>
      <c r="V12" t="s">
        <v>19</v>
      </c>
      <c r="W12" t="s">
        <v>19</v>
      </c>
      <c r="X12" t="s">
        <v>19</v>
      </c>
    </row>
    <row r="13" spans="1:24">
      <c r="A13" t="s">
        <v>326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s="5" t="s">
        <v>317</v>
      </c>
      <c r="H13" s="5" t="s">
        <v>19</v>
      </c>
      <c r="I13" s="5" t="s">
        <v>19</v>
      </c>
      <c r="J13" s="5" t="s">
        <v>19</v>
      </c>
      <c r="K13" s="5" t="s">
        <v>19</v>
      </c>
      <c r="L13" s="5" t="s">
        <v>19</v>
      </c>
      <c r="M13" s="5" t="s">
        <v>19</v>
      </c>
      <c r="N13" s="5" t="s">
        <v>19</v>
      </c>
      <c r="O13" s="5" t="s">
        <v>19</v>
      </c>
      <c r="P13" s="5" t="s">
        <v>19</v>
      </c>
      <c r="Q13" s="5" t="s">
        <v>19</v>
      </c>
      <c r="R13" s="5" t="s">
        <v>19</v>
      </c>
      <c r="S13" s="5" t="str">
        <f>HYPERLINK("http://www.lghausys.co.kr/popup/rn/download/downloadPopup.jsp?from=plwindow&amp;uu=/upload/window/INFO/HELP-Notice.pdf","다운로드")</f>
        <v>다운로드</v>
      </c>
      <c r="T13" t="s">
        <v>19</v>
      </c>
      <c r="U13" t="s">
        <v>19</v>
      </c>
      <c r="V13" t="s">
        <v>19</v>
      </c>
      <c r="W13" t="s">
        <v>19</v>
      </c>
      <c r="X13" t="s">
        <v>19</v>
      </c>
    </row>
    <row r="14" spans="1:24">
      <c r="A14" t="s">
        <v>327</v>
      </c>
      <c r="B14" t="s">
        <v>203</v>
      </c>
      <c r="C14" t="s">
        <v>328</v>
      </c>
      <c r="D14" t="s">
        <v>329</v>
      </c>
      <c r="E14" t="s">
        <v>330</v>
      </c>
      <c r="F14" t="s">
        <v>331</v>
      </c>
      <c r="G14" s="5" t="s">
        <v>315</v>
      </c>
      <c r="H14" s="5" t="str">
        <f>HYPERLINK("http://www.lghausys.co.kr/popup/rn/download/downloadPopup.jsp?from=plwindow&amp;uu=/upload/window/DOCUMENT/SECTION-LC-LS290GH.dwg","다운로드")</f>
        <v>다운로드</v>
      </c>
      <c r="I14" s="5" t="s">
        <v>19</v>
      </c>
      <c r="J14" s="5" t="str">
        <f>HYPERLINK("http://www.lghausys.co.kr/popup/rn/download/downloadPopup.jsp?from=plwindow&amp;uu=/upload/window/DOCUMENT/INSTALL-LC-LS290GH.dwg","다운로드")</f>
        <v>다운로드</v>
      </c>
      <c r="K14" s="5" t="str">
        <f>HYPERLINK("http://www.lghausys.co.kr/popup/rn/download/downloadPopup.jsp?from=plwindow&amp;uu=/upload/window/DOCUMENT/SECTION-LC-LS290GH.pdf","다운로드")</f>
        <v>다운로드</v>
      </c>
      <c r="L14" s="5" t="s">
        <v>19</v>
      </c>
      <c r="M14" s="5" t="str">
        <f>HYPERLINK("http://www.lghausys.co.kr/popup/rn/download/downloadPopup.jsp?from=plwindow&amp;uu=/upload/window/DOCUMENT/INSTALL-LC-LS290GH.pdf","다운로드")</f>
        <v>다운로드</v>
      </c>
      <c r="N14" s="5" t="str">
        <f>HYPERLINK("http://www.lghausys.co.kr/popup/rn/download/downloadPopup.jsp?from=plwindow&amp;uu=/upload/window/INFO/INTRO-LONCHEL.pdf","다운로드")</f>
        <v>다운로드</v>
      </c>
      <c r="O14" s="5" t="s">
        <v>19</v>
      </c>
      <c r="P14" s="5" t="s">
        <v>19</v>
      </c>
      <c r="Q14" s="5" t="s">
        <v>19</v>
      </c>
      <c r="R14" s="5" t="s">
        <v>19</v>
      </c>
      <c r="S14" s="5" t="s">
        <v>19</v>
      </c>
      <c r="T14" t="s">
        <v>19</v>
      </c>
      <c r="U14" t="s">
        <v>19</v>
      </c>
      <c r="V14" t="s">
        <v>19</v>
      </c>
      <c r="W14" t="s">
        <v>19</v>
      </c>
      <c r="X14" t="s">
        <v>19</v>
      </c>
    </row>
    <row r="15" spans="1:24">
      <c r="A15" t="s">
        <v>332</v>
      </c>
      <c r="B15" t="s">
        <v>205</v>
      </c>
      <c r="C15" t="s">
        <v>328</v>
      </c>
      <c r="D15" t="s">
        <v>329</v>
      </c>
      <c r="E15" t="s">
        <v>330</v>
      </c>
      <c r="F15" t="s">
        <v>331</v>
      </c>
      <c r="G15" s="5" t="s">
        <v>315</v>
      </c>
      <c r="H15" s="5" t="str">
        <f>HYPERLINK("http://www.lghausys.co.kr/popup/rn/download/downloadPopup.jsp?from=plwindow&amp;uu=/upload/window/DOCUMENT/SECTION-LC-145GH.dwg","다운로드")</f>
        <v>다운로드</v>
      </c>
      <c r="I15" s="5" t="s">
        <v>19</v>
      </c>
      <c r="J15" s="5" t="s">
        <v>19</v>
      </c>
      <c r="K15" s="5" t="str">
        <f>HYPERLINK("http://www.lghausys.co.kr/popup/rn/download/downloadPopup.jsp?from=plwindow&amp;uu=/upload/window/DOCUMENT/SECTION-LC-145GH.pdf","다운로드")</f>
        <v>다운로드</v>
      </c>
      <c r="L15" s="5" t="s">
        <v>19</v>
      </c>
      <c r="M15" s="5" t="s">
        <v>19</v>
      </c>
      <c r="N15" s="5" t="str">
        <f>HYPERLINK("http://www.lghausys.co.kr/popup/rn/download/downloadPopup.jsp?from=plwindow&amp;uu=/upload/window/INFO/INTRO-LONCHEL.pdf","다운로드")</f>
        <v>다운로드</v>
      </c>
      <c r="O15" s="5" t="s">
        <v>19</v>
      </c>
      <c r="P15" s="5" t="s">
        <v>19</v>
      </c>
      <c r="Q15" s="5" t="s">
        <v>19</v>
      </c>
      <c r="R15" s="5" t="s">
        <v>19</v>
      </c>
      <c r="S15" s="5" t="s">
        <v>19</v>
      </c>
      <c r="T15" t="s">
        <v>19</v>
      </c>
      <c r="U15" t="s">
        <v>19</v>
      </c>
      <c r="V15" t="s">
        <v>19</v>
      </c>
      <c r="W15" t="s">
        <v>19</v>
      </c>
      <c r="X15" t="s">
        <v>19</v>
      </c>
    </row>
    <row r="16" spans="1:24">
      <c r="A16" t="s">
        <v>333</v>
      </c>
      <c r="B16" t="s">
        <v>441</v>
      </c>
      <c r="C16" t="s">
        <v>328</v>
      </c>
      <c r="D16" t="s">
        <v>334</v>
      </c>
      <c r="E16" t="s">
        <v>331</v>
      </c>
      <c r="F16" t="s">
        <v>19</v>
      </c>
      <c r="G16" s="5" t="s">
        <v>317</v>
      </c>
      <c r="H16" s="5" t="str">
        <f>HYPERLINK("http://www.lghausys.co.kr/popup/rn/download/downloadPopup.jsp?from=plwindow&amp;uu=/upload/window/DOCUMENT/SECTION-E9-LS250.dwg","다운로드")</f>
        <v>다운로드</v>
      </c>
      <c r="I16" s="5" t="str">
        <f>HYPERLINK("http://www.lghausys.co.kr/popup/rn/download/downloadPopup.jsp?from=plwindow&amp;uu=/upload/window/DOCUMENT/FRONT-E9-LS250.dwg","다운로드")</f>
        <v>다운로드</v>
      </c>
      <c r="J16" s="5" t="str">
        <f>HYPERLINK("http://www.lghausys.co.kr/popup/rn/download/downloadPopup.jsp?from=plwindow&amp;uu=/upload/window/DOCUMENT/INSTALL-E9-LS250.dwg","다운로드")</f>
        <v>다운로드</v>
      </c>
      <c r="K16" s="5" t="str">
        <f>HYPERLINK("http://www.lghausys.co.kr/popup/rn/download/downloadPopup.jsp?from=plwindow&amp;uu=/upload/window/DOCUMENT/SECTION-E9-LS250.pdf","다운로드")</f>
        <v>다운로드</v>
      </c>
      <c r="L16" s="5" t="str">
        <f>HYPERLINK("http://www.lghausys.co.kr/popup/rn/download/downloadPopup.jsp?from=plwindow&amp;uu=/upload/window/DOCUMENT/FRONT-E9-LS250.pdf","다운로드")</f>
        <v>다운로드</v>
      </c>
      <c r="M16" s="5" t="str">
        <f>HYPERLINK("http://www.lghausys.co.kr/popup/rn/download/downloadPopup.jsp?from=plwindow&amp;uu=/upload/window/DOCUMENT/INSTALL-E9-LS250.pdf","다운로드")</f>
        <v>다운로드</v>
      </c>
      <c r="N16" s="5" t="str">
        <f>HYPERLINK("http://www.lghausys.co.kr/popup/rn/download/downloadPopup.jsp?from=plwindow&amp;uu=/upload/window/INFO/INTRO-EUROSystem9.pdf","다운로드")</f>
        <v>다운로드</v>
      </c>
      <c r="O16" s="5" t="s">
        <v>19</v>
      </c>
      <c r="P16" s="5" t="str">
        <f>HYPERLINK("http://www.lghausys.co.kr/popup/rn/download/downloadPopup.jsp?from=plwindow&amp;uu=/upload/window/INFO/REFLET-EUROSystem9.pdf","다운로드")</f>
        <v>다운로드</v>
      </c>
      <c r="Q16" s="5" t="str">
        <f>HYPERLINK("http://www.lghausys.co.kr/popup/rn/download/downloadPopup.jsp?from=plwindow&amp;uu=/upload/window/INFO/REF-EUROSystem9.pdf","다운로드")</f>
        <v>다운로드</v>
      </c>
      <c r="R16" s="5" t="str">
        <f>HYPERLINK("http://www.lghausys.co.kr/popup/rn/download/downloadPopup.jsp?from=plwindow&amp;uu=/upload/window/DOCUMENT/GUIDE-E9-LS250.hwp","다운로드")</f>
        <v>다운로드</v>
      </c>
      <c r="S16" s="5" t="s">
        <v>19</v>
      </c>
      <c r="T16" t="str">
        <f>HYPERLINK("http://www.lghausys.co.kr/popup/rn/download/downloadPopup.jsp?from=plwindow&amp;uu=/upload/window/DOCUMENT/WINDMAX-E9-LS250.pdf","다운로드")</f>
        <v>다운로드</v>
      </c>
      <c r="U16" t="str">
        <f>HYPERLINK("http://www.lghausys.co.kr/popup/rn/download/downloadPopup.jsp?from=plwindow&amp;uu=/upload/window/DOCUMENT/WIND20-E9-LS250.pdf","다운로드")</f>
        <v>다운로드</v>
      </c>
      <c r="V16" t="str">
        <f>HYPERLINK("http://www.lghausys.co.kr/popup/rn/download/downloadPopup.jsp?from=plwindow&amp;uu=/upload/window/DOCUMENT/WIND15-E9-LS250.pdf","다운로드")</f>
        <v>다운로드</v>
      </c>
      <c r="W16" t="str">
        <f>HYPERLINK("http://www.lghausys.co.kr/popup/rn/download/downloadPopup.jsp?from=plwindow&amp;uu=/upload/window/DOCUMENT/WIND10-E9-LS250.pdf","다운로드")</f>
        <v>다운로드</v>
      </c>
      <c r="X16" t="str">
        <f>HYPERLINK("http://www.lghausys.co.kr/popup/rn/download/downloadPopup.jsp?from=plwindow&amp;uu=/upload/window/DOCUMENT/WIND05-E9-LS250.pdf","다운로드")</f>
        <v>다운로드</v>
      </c>
    </row>
    <row r="17" spans="1:24">
      <c r="A17" t="s">
        <v>335</v>
      </c>
      <c r="B17" t="s">
        <v>122</v>
      </c>
      <c r="C17" t="s">
        <v>328</v>
      </c>
      <c r="D17" t="s">
        <v>334</v>
      </c>
      <c r="E17" t="s">
        <v>330</v>
      </c>
      <c r="F17" t="s">
        <v>331</v>
      </c>
      <c r="G17" s="5" t="s">
        <v>317</v>
      </c>
      <c r="H17" s="5" t="str">
        <f>HYPERLINK("http://www.lghausys.co.kr/popup/rn/download/downloadPopup.jsp?from=plwindow&amp;uu=/upload/window/DOCUMENT/SECTION-E9-LS275.dwg","다운로드")</f>
        <v>다운로드</v>
      </c>
      <c r="I17" s="5" t="str">
        <f>HYPERLINK("http://www.lghausys.co.kr/popup/rn/download/downloadPopup.jsp?from=plwindow&amp;uu=/upload/window/DOCUMENT/FRONT-E9-LS275.dwg","다운로드")</f>
        <v>다운로드</v>
      </c>
      <c r="J17" s="5" t="str">
        <f>HYPERLINK("http://www.lghausys.co.kr/popup/rn/download/downloadPopup.jsp?from=plwindow&amp;uu=/upload/window/DOCUMENT/INSTALL-E9-LS275.dwg","다운로드")</f>
        <v>다운로드</v>
      </c>
      <c r="K17" s="5" t="str">
        <f>HYPERLINK("http://www.lghausys.co.kr/popup/rn/download/downloadPopup.jsp?from=plwindow&amp;uu=/upload/window/DOCUMENT/SECTION-E9-LS275.pdf","다운로드")</f>
        <v>다운로드</v>
      </c>
      <c r="L17" s="5" t="str">
        <f>HYPERLINK("http://www.lghausys.co.kr/popup/rn/download/downloadPopup.jsp?from=plwindow&amp;uu=/upload/window/DOCUMENT/FRONT-E9-LS275.pdf","다운로드")</f>
        <v>다운로드</v>
      </c>
      <c r="M17" s="5" t="str">
        <f>HYPERLINK("http://www.lghausys.co.kr/popup/rn/download/downloadPopup.jsp?from=plwindow&amp;uu=/upload/window/DOCUMENT/INSTALL-E9-LS275.pdf","다운로드")</f>
        <v>다운로드</v>
      </c>
      <c r="N17" s="5" t="str">
        <f>HYPERLINK("http://www.lghausys.co.kr/popup/rn/download/downloadPopup.jsp?from=plwindow&amp;uu=/upload/window/INFO/INTRO-EUROSystem9.pdf","다운로드")</f>
        <v>다운로드</v>
      </c>
      <c r="O17" s="5" t="s">
        <v>19</v>
      </c>
      <c r="P17" s="5" t="str">
        <f>HYPERLINK("http://www.lghausys.co.kr/popup/rn/download/downloadPopup.jsp?from=plwindow&amp;uu=/upload/window/INFO/REFLET-EUROSystem9.pdf","다운로드")</f>
        <v>다운로드</v>
      </c>
      <c r="Q17" s="5" t="str">
        <f>HYPERLINK("http://www.lghausys.co.kr/popup/rn/download/downloadPopup.jsp?from=plwindow&amp;uu=/upload/window/INFO/REF-EUROSystem9.pdf","다운로드")</f>
        <v>다운로드</v>
      </c>
      <c r="R17" s="5" t="str">
        <f>HYPERLINK("http://www.lghausys.co.kr/popup/rn/download/downloadPopup.jsp?from=plwindow&amp;uu=/upload/window/DOCUMENT/GUIDE-E9-LS275.hwp","다운로드")</f>
        <v>다운로드</v>
      </c>
      <c r="S17" s="5" t="s">
        <v>19</v>
      </c>
      <c r="T17" t="str">
        <f>HYPERLINK("http://www.lghausys.co.kr/popup/rn/download/downloadPopup.jsp?from=plwindow&amp;uu=/upload/window/DOCUMENT/WINDMAX-E9-LS275.pdf","다운로드")</f>
        <v>다운로드</v>
      </c>
      <c r="U17" t="str">
        <f>HYPERLINK("http://www.lghausys.co.kr/popup/rn/download/downloadPopup.jsp?from=plwindow&amp;uu=/upload/window/DOCUMENT/WIND20-E9-LS275.pdf","다운로드")</f>
        <v>다운로드</v>
      </c>
      <c r="V17" t="str">
        <f>HYPERLINK("http://www.lghausys.co.kr/popup/rn/download/downloadPopup.jsp?from=plwindow&amp;uu=/upload/window/DOCUMENT/WIND15-E9-LS275.pdf","다운로드")</f>
        <v>다운로드</v>
      </c>
      <c r="W17" t="str">
        <f>HYPERLINK("http://www.lghausys.co.kr/popup/rn/download/downloadPopup.jsp?from=plwindow&amp;uu=/upload/window/DOCUMENT/WIND10-E9-LS275.pdf","다운로드")</f>
        <v>다운로드</v>
      </c>
      <c r="X17" t="str">
        <f>HYPERLINK("http://www.lghausys.co.kr/popup/rn/download/downloadPopup.jsp?from=plwindow&amp;uu=/upload/window/DOCUMENT/WIND05-E9-LS275.pdf","다운로드")</f>
        <v>다운로드</v>
      </c>
    </row>
    <row r="18" spans="1:24">
      <c r="A18" t="s">
        <v>336</v>
      </c>
      <c r="B18" t="s">
        <v>39</v>
      </c>
      <c r="C18" t="s">
        <v>328</v>
      </c>
      <c r="D18" t="s">
        <v>337</v>
      </c>
      <c r="E18" t="s">
        <v>338</v>
      </c>
      <c r="F18" t="s">
        <v>19</v>
      </c>
      <c r="G18" s="5" t="s">
        <v>317</v>
      </c>
      <c r="H18" s="5" t="str">
        <f>HYPERLINK("http://www.lghausys.co.kr/popup/rn/download/downloadPopup.jsp?from=plwindow&amp;uu=/upload/window/DOCUMENT/SECTION-PTT237.dwg","다운로드")</f>
        <v>다운로드</v>
      </c>
      <c r="I18" s="5" t="str">
        <f>HYPERLINK("http://www.lghausys.co.kr/popup/rn/download/downloadPopup.jsp?from=plwindow&amp;uu=/upload/window/DOCUMENT/FRONT-PTT237.dwg","다운로드")</f>
        <v>다운로드</v>
      </c>
      <c r="J18" s="5" t="str">
        <f>HYPERLINK("http://www.lghausys.co.kr/popup/rn/download/downloadPopup.jsp?from=plwindow&amp;uu=/upload/window/DOCUMENT/INSTALL-PTT237.dwg","다운로드")</f>
        <v>다운로드</v>
      </c>
      <c r="K18" s="5" t="str">
        <f>HYPERLINK("http://www.lghausys.co.kr/popup/rn/download/downloadPopup.jsp?from=plwindow&amp;uu=/upload/window/DOCUMENT/SECTION-PTT237.pdf","다운로드")</f>
        <v>다운로드</v>
      </c>
      <c r="L18" s="5" t="str">
        <f>HYPERLINK("http://www.lghausys.co.kr/popup/rn/download/downloadPopup.jsp?from=plwindow&amp;uu=/upload/window/DOCUMENT/FRONT-PTT237.pdf","다운로드")</f>
        <v>다운로드</v>
      </c>
      <c r="M18" s="5" t="str">
        <f>HYPERLINK("http://www.lghausys.co.kr/popup/rn/download/downloadPopup.jsp?from=plwindow&amp;uu=/upload/window/DOCUMENT/INSTALL-PTT237.pdf","다운로드")</f>
        <v>다운로드</v>
      </c>
      <c r="N18" s="5" t="str">
        <f>HYPERLINK("http://www.lghausys.co.kr/popup/rn/download/downloadPopup.jsp?from=plwindow&amp;uu=/upload/window/INFO/INTRO-SystemWindow(HighRise2).pdf","다운로드")</f>
        <v>다운로드</v>
      </c>
      <c r="O18" s="5" t="s">
        <v>19</v>
      </c>
      <c r="P18" s="5" t="str">
        <f>HYPERLINK("http://www.lghausys.co.kr/popup/rn/download/downloadPopup.jsp?from=plwindow&amp;uu=/upload/window/INFO/REFLET-SystemWindow(HighRise2).pdf","다운로드")</f>
        <v>다운로드</v>
      </c>
      <c r="Q18" s="5" t="s">
        <v>19</v>
      </c>
      <c r="R18" s="5" t="str">
        <f>HYPERLINK("http://www.lghausys.co.kr/popup/rn/download/downloadPopup.jsp?from=plwindow&amp;uu=/upload/window/DOCUMENT/GUIDE-PTT237.hwp","다운로드")</f>
        <v>다운로드</v>
      </c>
      <c r="S18" s="5" t="str">
        <f>HYPERLINK("http://www.lghausys.co.kr/popup/rn/download/downloadPopup.jsp?from=plwindow&amp;uu=/upload/window/INFO/HELP-SystemWindow(HighRise2).pdf","다운로드")</f>
        <v>다운로드</v>
      </c>
      <c r="T18" t="s">
        <v>19</v>
      </c>
      <c r="U18" t="s">
        <v>19</v>
      </c>
      <c r="V18" t="s">
        <v>19</v>
      </c>
      <c r="W18" t="s">
        <v>19</v>
      </c>
      <c r="X18" t="s">
        <v>19</v>
      </c>
    </row>
    <row r="19" spans="1:24">
      <c r="A19" t="s">
        <v>336</v>
      </c>
      <c r="B19" t="s">
        <v>69</v>
      </c>
      <c r="C19" t="s">
        <v>328</v>
      </c>
      <c r="D19" t="s">
        <v>337</v>
      </c>
      <c r="E19" t="s">
        <v>338</v>
      </c>
      <c r="F19" t="s">
        <v>19</v>
      </c>
      <c r="G19" s="5" t="s">
        <v>317</v>
      </c>
      <c r="H19" s="5" t="str">
        <f>HYPERLINK("http://www.lghausys.co.kr/popup/rn/download/downloadPopup.jsp?from=plwindow&amp;uu=/upload/window/DOCUMENT/SECTION-E9-TT150.dwg","다운로드")</f>
        <v>다운로드</v>
      </c>
      <c r="I19" s="5" t="str">
        <f>HYPERLINK("http://www.lghausys.co.kr/popup/rn/download/downloadPopup.jsp?from=plwindow&amp;uu=/upload/window/DOCUMENT/FRONT-E9-TT150.dwg","다운로드")</f>
        <v>다운로드</v>
      </c>
      <c r="J19" s="5" t="str">
        <f>HYPERLINK("http://www.lghausys.co.kr/popup/rn/download/downloadPopup.jsp?from=plwindow&amp;uu=/upload/window/DOCUMENT/INSTALL-E9-TT150.dwg","다운로드")</f>
        <v>다운로드</v>
      </c>
      <c r="K19" s="5" t="str">
        <f>HYPERLINK("http://www.lghausys.co.kr/popup/rn/download/downloadPopup.jsp?from=plwindow&amp;uu=/upload/window/DOCUMENT/SECTION-E9-TT150.pdf","다운로드")</f>
        <v>다운로드</v>
      </c>
      <c r="L19" s="5" t="str">
        <f>HYPERLINK("http://www.lghausys.co.kr/popup/rn/download/downloadPopup.jsp?from=plwindow&amp;uu=/upload/window/DOCUMENT/FRONT-E9-TT150.pdf","다운로드")</f>
        <v>다운로드</v>
      </c>
      <c r="M19" s="5" t="str">
        <f>HYPERLINK("http://www.lghausys.co.kr/popup/rn/download/downloadPopup.jsp?from=plwindow&amp;uu=/upload/window/DOCUMENT/INSTALL-E9-TT150.pdf","다운로드")</f>
        <v>다운로드</v>
      </c>
      <c r="N19" s="5" t="str">
        <f>HYPERLINK("http://www.lghausys.co.kr/popup/rn/download/downloadPopup.jsp?from=plwindow&amp;uu=/upload/window/INFO/INTRO-EUROSystem9.pdf","다운로드")</f>
        <v>다운로드</v>
      </c>
      <c r="O19" s="5" t="s">
        <v>19</v>
      </c>
      <c r="P19" s="5" t="str">
        <f>HYPERLINK("http://www.lghausys.co.kr/popup/rn/download/downloadPopup.jsp?from=plwindow&amp;uu=/upload/window/INFO/REFLET-EUROSystem9.pdf","다운로드")</f>
        <v>다운로드</v>
      </c>
      <c r="Q19" s="5" t="str">
        <f>HYPERLINK("http://www.lghausys.co.kr/popup/rn/download/downloadPopup.jsp?from=plwindow&amp;uu=/upload/window/INFO/REF-EUROSystem9.pdf","다운로드")</f>
        <v>다운로드</v>
      </c>
      <c r="R19" s="5" t="str">
        <f>HYPERLINK("http://www.lghausys.co.kr/popup/rn/download/downloadPopup.jsp?from=plwindow&amp;uu=/upload/window/DOCUMENT/GUIDE-E9-TT150.hwp","다운로드")</f>
        <v>다운로드</v>
      </c>
      <c r="S19" s="5" t="str">
        <f>HYPERLINK("http://www.lghausys.co.kr/popup/rn/download/downloadPopup.jsp?from=plwindow&amp;uu=/upload/window/INFO/HELP-EUROSystem9.pdf","다운로드")</f>
        <v>다운로드</v>
      </c>
      <c r="T19" t="s">
        <v>19</v>
      </c>
      <c r="U19" t="s">
        <v>19</v>
      </c>
      <c r="V19" t="s">
        <v>19</v>
      </c>
      <c r="W19" t="s">
        <v>19</v>
      </c>
      <c r="X19" t="s">
        <v>19</v>
      </c>
    </row>
    <row r="20" spans="1:24">
      <c r="A20" t="s">
        <v>339</v>
      </c>
      <c r="B20" t="s">
        <v>44</v>
      </c>
      <c r="C20" t="s">
        <v>328</v>
      </c>
      <c r="D20" t="s">
        <v>337</v>
      </c>
      <c r="E20" t="s">
        <v>338</v>
      </c>
      <c r="F20" t="s">
        <v>19</v>
      </c>
      <c r="G20" s="5" t="s">
        <v>317</v>
      </c>
      <c r="H20" s="5" t="str">
        <f>HYPERLINK("http://www.lghausys.co.kr/popup/rn/download/downloadPopup.jsp?from=plwindow&amp;uu=/upload/window/DOCUMENT/SECTION-E9-TT70.dwg","다운로드")</f>
        <v>다운로드</v>
      </c>
      <c r="I20" s="5" t="str">
        <f>HYPERLINK("http://www.lghausys.co.kr/popup/rn/download/downloadPopup.jsp?from=plwindow&amp;uu=/upload/window/DOCUMENT/FRONT-E9-TT70.dwg","다운로드")</f>
        <v>다운로드</v>
      </c>
      <c r="J20" s="5" t="str">
        <f>HYPERLINK("http://www.lghausys.co.kr/popup/rn/download/downloadPopup.jsp?from=plwindow&amp;uu=/upload/window/DOCUMENT/INSTALL-E9-TT70.dwg","다운로드")</f>
        <v>다운로드</v>
      </c>
      <c r="K20" s="5" t="str">
        <f>HYPERLINK("http://www.lghausys.co.kr/popup/rn/download/downloadPopup.jsp?from=plwindow&amp;uu=/upload/window/DOCUMENT/SECTION-E9-TT70.pdf","다운로드")</f>
        <v>다운로드</v>
      </c>
      <c r="L20" s="5" t="str">
        <f>HYPERLINK("http://www.lghausys.co.kr/popup/rn/download/downloadPopup.jsp?from=plwindow&amp;uu=/upload/window/DOCUMENT/FRONT-E9-TT70.pdf","다운로드")</f>
        <v>다운로드</v>
      </c>
      <c r="M20" s="5" t="str">
        <f>HYPERLINK("http://www.lghausys.co.kr/popup/rn/download/downloadPopup.jsp?from=plwindow&amp;uu=/upload/window/DOCUMENT/INSTALL-E9-TT70.pdf","다운로드")</f>
        <v>다운로드</v>
      </c>
      <c r="N20" s="5" t="str">
        <f>HYPERLINK("http://www.lghausys.co.kr/popup/rn/download/downloadPopup.jsp?from=plwindow&amp;uu=/upload/window/INFO/INTRO-EUROSystem9.pdf","다운로드")</f>
        <v>다운로드</v>
      </c>
      <c r="O20" s="5" t="s">
        <v>19</v>
      </c>
      <c r="P20" s="5" t="str">
        <f>HYPERLINK("http://www.lghausys.co.kr/popup/rn/download/downloadPopup.jsp?from=plwindow&amp;uu=/upload/window/INFO/REFLET-EUROSystem9.pdf","다운로드")</f>
        <v>다운로드</v>
      </c>
      <c r="Q20" s="5" t="str">
        <f>HYPERLINK("http://www.lghausys.co.kr/popup/rn/download/downloadPopup.jsp?from=plwindow&amp;uu=/upload/window/INFO/REF-EUROSystem9.pdf","다운로드")</f>
        <v>다운로드</v>
      </c>
      <c r="R20" s="5" t="str">
        <f>HYPERLINK("http://www.lghausys.co.kr/popup/rn/download/downloadPopup.jsp?from=plwindow&amp;uu=/upload/window/DOCUMENT/GUIDE-E9-TT70.hwp","다운로드")</f>
        <v>다운로드</v>
      </c>
      <c r="S20" s="5" t="str">
        <f>HYPERLINK("http://www.lghausys.co.kr/popup/rn/download/downloadPopup.jsp?from=plwindow&amp;uu=/upload/window/INFO/HELP-EUROSystem9.pdf","다운로드")</f>
        <v>다운로드</v>
      </c>
      <c r="T20" t="s">
        <v>19</v>
      </c>
      <c r="U20" t="s">
        <v>19</v>
      </c>
      <c r="V20" t="s">
        <v>19</v>
      </c>
      <c r="W20" t="s">
        <v>19</v>
      </c>
      <c r="X20" t="s">
        <v>19</v>
      </c>
    </row>
    <row r="21" spans="1:24">
      <c r="A21" t="s">
        <v>339</v>
      </c>
      <c r="B21" t="s">
        <v>446</v>
      </c>
      <c r="C21" t="s">
        <v>328</v>
      </c>
      <c r="D21" t="s">
        <v>337</v>
      </c>
      <c r="E21" t="s">
        <v>338</v>
      </c>
      <c r="F21" t="s">
        <v>19</v>
      </c>
      <c r="G21" s="5" t="s">
        <v>317</v>
      </c>
      <c r="H21" s="5" t="str">
        <f>HYPERLINK("http://www.lghausys.co.kr/popup/rn/download/downloadPopup.jsp?from=plwindow&amp;uu=/upload/window/DOCUMENT/SECTION-E9-TT85.dwg","다운로드")</f>
        <v>다운로드</v>
      </c>
      <c r="I21" s="5" t="str">
        <f>HYPERLINK("http://www.lghausys.co.kr/popup/rn/download/downloadPopup.jsp?from=plwindow&amp;uu=/upload/window/DOCUMENT/FRONT-E9-TT85.dwg","다운로드")</f>
        <v>다운로드</v>
      </c>
      <c r="J21" s="5" t="str">
        <f>HYPERLINK("http://www.lghausys.co.kr/popup/rn/download/downloadPopup.jsp?from=plwindow&amp;uu=/upload/window/DOCUMENT/INSTALL-E9-TT85.dwg","다운로드")</f>
        <v>다운로드</v>
      </c>
      <c r="K21" s="5" t="str">
        <f>HYPERLINK("http://www.lghausys.co.kr/popup/rn/download/downloadPopup.jsp?from=plwindow&amp;uu=/upload/window/DOCUMENT/SECTION-E9-TT85.pdf","다운로드")</f>
        <v>다운로드</v>
      </c>
      <c r="L21" s="5" t="str">
        <f>HYPERLINK("http://www.lghausys.co.kr/popup/rn/download/downloadPopup.jsp?from=plwindow&amp;uu=/upload/window/DOCUMENT/FRONT-E9-TT85.pdf","다운로드")</f>
        <v>다운로드</v>
      </c>
      <c r="M21" s="5" t="str">
        <f>HYPERLINK("http://www.lghausys.co.kr/popup/rn/download/downloadPopup.jsp?from=plwindow&amp;uu=/upload/window/DOCUMENT/INSTALL-E9-TT85.pdf","다운로드")</f>
        <v>다운로드</v>
      </c>
      <c r="N21" s="5" t="str">
        <f>HYPERLINK("http://www.lghausys.co.kr/popup/rn/download/downloadPopup.jsp?from=plwindow&amp;uu=/upload/window/INFO/INTRO-EUROSystem9.pdf","다운로드")</f>
        <v>다운로드</v>
      </c>
      <c r="O21" s="5" t="s">
        <v>19</v>
      </c>
      <c r="P21" s="5" t="str">
        <f>HYPERLINK("http://www.lghausys.co.kr/popup/rn/download/downloadPopup.jsp?from=plwindow&amp;uu=/upload/window/INFO/REFLET-EUROSystem9.pdf","다운로드")</f>
        <v>다운로드</v>
      </c>
      <c r="Q21" s="5" t="str">
        <f>HYPERLINK("http://www.lghausys.co.kr/popup/rn/download/downloadPopup.jsp?from=plwindow&amp;uu=/upload/window/INFO/REF-EUROSystem9.pdf","다운로드")</f>
        <v>다운로드</v>
      </c>
      <c r="R21" s="5" t="str">
        <f>HYPERLINK("http://www.lghausys.co.kr/popup/rn/download/downloadPopup.jsp?from=plwindow&amp;uu=/upload/window/DOCUMENT/GUIDE-E9-TT85.hwp","다운로드")</f>
        <v>다운로드</v>
      </c>
      <c r="S21" s="5" t="str">
        <f>HYPERLINK("http://www.lghausys.co.kr/popup/rn/download/downloadPopup.jsp?from=plwindow&amp;uu=/upload/window/INFO/HELP-EUROSystem9.pdf","다운로드")</f>
        <v>다운로드</v>
      </c>
      <c r="T21" t="s">
        <v>19</v>
      </c>
      <c r="U21" t="s">
        <v>19</v>
      </c>
      <c r="V21" t="s">
        <v>19</v>
      </c>
      <c r="W21" t="s">
        <v>19</v>
      </c>
      <c r="X21" t="s">
        <v>19</v>
      </c>
    </row>
    <row r="22" spans="1:24">
      <c r="A22" t="s">
        <v>339</v>
      </c>
      <c r="B22" t="s">
        <v>604</v>
      </c>
      <c r="C22" t="s">
        <v>328</v>
      </c>
      <c r="D22" t="s">
        <v>337</v>
      </c>
      <c r="E22" t="s">
        <v>338</v>
      </c>
      <c r="F22" t="s">
        <v>19</v>
      </c>
      <c r="G22" s="5" t="s">
        <v>317</v>
      </c>
      <c r="H22" s="16" t="str">
        <f>HYPERLINK("http://www.lghausys.co.kr/popup/rn/download/downloadPopup.jsp?from=plwindow&amp;uu=/upload/window/DOCUMENT/SECTION-E9-TT85PHI.dwg","다운로드")</f>
        <v>다운로드</v>
      </c>
      <c r="I22" s="16" t="str">
        <f>HYPERLINK("http://www.lghausys.co.kr/popup/rn/download/downloadPopup.jsp?from=plwindow&amp;uu=/upload/window/DOCUMENT/FRONT-E9-TT85PHI.dwg","다운로드")</f>
        <v>다운로드</v>
      </c>
      <c r="J22" s="16" t="str">
        <f>HYPERLINK("http://www.lghausys.co.kr/popup/rn/download/downloadPopup.jsp?from=plwindow&amp;uu=/upload/window/DOCUMENT/INSTALL-E9-TT85PHI.dwg","다운로드")</f>
        <v>다운로드</v>
      </c>
      <c r="K22" s="16" t="str">
        <f>HYPERLINK("http://www.lghausys.co.kr/popup/rn/download/downloadPopup.jsp?from=plwindow&amp;uu=/upload/window/DOCUMENT/SECTION-E9-TT85PHI.pdf","다운로드")</f>
        <v>다운로드</v>
      </c>
      <c r="L22" s="16" t="str">
        <f>HYPERLINK("http://www.lghausys.co.kr/popup/rn/download/downloadPopup.jsp?from=plwindow&amp;uu=/upload/window/DOCUMENT/FRONT-E9-TT85PHI.pdf","다운로드")</f>
        <v>다운로드</v>
      </c>
      <c r="M22" s="16" t="str">
        <f>HYPERLINK("http://www.lghausys.co.kr/popup/rn/download/downloadPopup.jsp?from=plwindow&amp;uu=/upload/window/DOCUMENT/INSTALL-E9-TT85PHI.pdf","다운로드")</f>
        <v>다운로드</v>
      </c>
      <c r="N22" s="5" t="str">
        <f>HYPERLINK("http://www.lghausys.co.kr/popup/rn/download/downloadPopup.jsp?from=plwindow&amp;uu=/upload/window/INFO/INTRO-EUROSystem9.pdf","다운로드")</f>
        <v>다운로드</v>
      </c>
      <c r="O22" s="5" t="s">
        <v>19</v>
      </c>
      <c r="P22" s="5" t="str">
        <f>HYPERLINK("http://www.lghausys.co.kr/popup/rn/download/downloadPopup.jsp?from=plwindow&amp;uu=/upload/window/INFO/REFLET-EUROSystem9.pdf","다운로드")</f>
        <v>다운로드</v>
      </c>
      <c r="Q22" s="5" t="str">
        <f>HYPERLINK("http://www.lghausys.co.kr/popup/rn/download/downloadPopup.jsp?from=plwindow&amp;uu=/upload/window/INFO/REF-EUROSystem9.pdf","다운로드")</f>
        <v>다운로드</v>
      </c>
      <c r="R22" s="16" t="str">
        <f>HYPERLINK("http://www.lghausys.co.kr/popup/rn/download/downloadPopup.jsp?from=plwindow&amp;uu=/upload/window/DOCUMENT/GUIDE-E9-TT85PHI.hwp","다운로드")</f>
        <v>다운로드</v>
      </c>
      <c r="S22" s="5" t="str">
        <f>HYPERLINK("http://www.lghausys.co.kr/popup/rn/download/downloadPopup.jsp?from=plwindow&amp;uu=/upload/window/INFO/HELP-EUROSystem9.pdf","다운로드")</f>
        <v>다운로드</v>
      </c>
      <c r="T22" t="s">
        <v>19</v>
      </c>
      <c r="U22" t="s">
        <v>19</v>
      </c>
      <c r="V22" t="s">
        <v>19</v>
      </c>
      <c r="W22" t="s">
        <v>19</v>
      </c>
      <c r="X22" t="s">
        <v>19</v>
      </c>
    </row>
    <row r="23" spans="1:24">
      <c r="A23" t="s">
        <v>336</v>
      </c>
      <c r="B23" t="s">
        <v>447</v>
      </c>
      <c r="C23" t="s">
        <v>328</v>
      </c>
      <c r="D23" t="s">
        <v>337</v>
      </c>
      <c r="E23" t="s">
        <v>338</v>
      </c>
      <c r="F23" t="s">
        <v>19</v>
      </c>
      <c r="G23" s="5" t="s">
        <v>317</v>
      </c>
      <c r="H23" s="5" t="str">
        <f>HYPERLINK("http://www.lghausys.co.kr/popup/rn/download/downloadPopup.jsp?from=plwindow&amp;uu=/upload/window/DOCUMENT/SECTION-E9-TT200.dwg","다운로드")</f>
        <v>다운로드</v>
      </c>
      <c r="I23" s="5" t="str">
        <f>HYPERLINK("http://www.lghausys.co.kr/popup/rn/download/downloadPopup.jsp?from=plwindow&amp;uu=/upload/window/DOCUMENT/FRONT-E9-TT200.dwg","다운로드")</f>
        <v>다운로드</v>
      </c>
      <c r="J23" s="5" t="str">
        <f>HYPERLINK("http://www.lghausys.co.kr/popup/rn/download/downloadPopup.jsp?from=plwindow&amp;uu=/upload/window/DOCUMENT/INSTALL-E9-TT200.dwg","다운로드")</f>
        <v>다운로드</v>
      </c>
      <c r="K23" s="5" t="str">
        <f>HYPERLINK("http://www.lghausys.co.kr/popup/rn/download/downloadPopup.jsp?from=plwindow&amp;uu=/upload/window/DOCUMENT/SECTION-E9-TT200.pdf","다운로드")</f>
        <v>다운로드</v>
      </c>
      <c r="L23" s="5" t="str">
        <f>HYPERLINK("http://www.lghausys.co.kr/popup/rn/download/downloadPopup.jsp?from=plwindow&amp;uu=/upload/window/DOCUMENT/FRONT-E9-TT200.pdf","다운로드")</f>
        <v>다운로드</v>
      </c>
      <c r="M23" s="5" t="str">
        <f>HYPERLINK("http://www.lghausys.co.kr/popup/rn/download/downloadPopup.jsp?from=plwindow&amp;uu=/upload/window/DOCUMENT/INSTALL-E9-TT200.pdf","다운로드")</f>
        <v>다운로드</v>
      </c>
      <c r="N23" s="5" t="str">
        <f>HYPERLINK("http://www.lghausys.co.kr/popup/rn/download/downloadPopup.jsp?from=plwindow&amp;uu=/upload/window/INFO/INTRO-EUROSystem9.pdf","다운로드")</f>
        <v>다운로드</v>
      </c>
      <c r="O23" s="5" t="s">
        <v>19</v>
      </c>
      <c r="P23" s="5" t="str">
        <f>HYPERLINK("http://www.lghausys.co.kr/popup/rn/download/downloadPopup.jsp?from=plwindow&amp;uu=/upload/window/INFO/REFLET-EUROSystem9.pdf","다운로드")</f>
        <v>다운로드</v>
      </c>
      <c r="Q23" s="5" t="str">
        <f>HYPERLINK("http://www.lghausys.co.kr/popup/rn/download/downloadPopup.jsp?from=plwindow&amp;uu=/upload/window/INFO/REF-EUROSystem9.pdf","다운로드")</f>
        <v>다운로드</v>
      </c>
      <c r="R23" s="5" t="str">
        <f>HYPERLINK("http://www.lghausys.co.kr/popup/rn/download/downloadPopup.jsp?from=plwindow&amp;uu=/upload/window/DOCUMENT/GUIDE-E9-TT200.hwp","다운로드")</f>
        <v>다운로드</v>
      </c>
      <c r="S23" s="5" t="str">
        <f>HYPERLINK("http://www.lghausys.co.kr/popup/rn/download/downloadPopup.jsp?from=plwindow&amp;uu=/upload/window/INFO/HELP-EUROSystem9.pdf","다운로드")</f>
        <v>다운로드</v>
      </c>
      <c r="T23" t="s">
        <v>19</v>
      </c>
      <c r="U23" t="s">
        <v>19</v>
      </c>
      <c r="V23" t="s">
        <v>19</v>
      </c>
      <c r="W23" t="s">
        <v>19</v>
      </c>
      <c r="X23" t="s">
        <v>19</v>
      </c>
    </row>
    <row r="24" spans="1:24">
      <c r="A24" t="s">
        <v>340</v>
      </c>
      <c r="B24" t="s">
        <v>442</v>
      </c>
      <c r="C24" t="s">
        <v>328</v>
      </c>
      <c r="D24" t="s">
        <v>341</v>
      </c>
      <c r="E24" t="s">
        <v>342</v>
      </c>
      <c r="F24" t="s">
        <v>19</v>
      </c>
      <c r="G24" s="5" t="s">
        <v>315</v>
      </c>
      <c r="H24" s="5" t="str">
        <f>HYPERLINK("http://www.lghausys.co.kr/popup/rn/download/downloadPopup.jsp?from=plwindow&amp;uu=/upload/window/DOCUMENT/SECTION-E9-TD200.dwg","다운로드")</f>
        <v>다운로드</v>
      </c>
      <c r="I24" s="5" t="str">
        <f>HYPERLINK("http://www.lghausys.co.kr/popup/rn/download/downloadPopup.jsp?from=plwindow&amp;uu=/upload/window/DOCUMENT/FRONT-E9-TD200.dwg","다운로드")</f>
        <v>다운로드</v>
      </c>
      <c r="J24" s="5" t="str">
        <f>HYPERLINK("http://www.lghausys.co.kr/popup/rn/download/downloadPopup.jsp?from=plwindow&amp;uu=/upload/window/DOCUMENT/INSTALL-E9-TD200.dwg","다운로드")</f>
        <v>다운로드</v>
      </c>
      <c r="K24" s="5" t="str">
        <f>HYPERLINK("http://www.lghausys.co.kr/popup/rn/download/downloadPopup.jsp?from=plwindow&amp;uu=/upload/window/DOCUMENT/SECTION-E9-TD200.pdf","다운로드")</f>
        <v>다운로드</v>
      </c>
      <c r="L24" s="5" t="str">
        <f>HYPERLINK("http://www.lghausys.co.kr/popup/rn/download/downloadPopup.jsp?from=plwindow&amp;uu=/upload/window/DOCUMENT/FRONT-E9-TD200.pdf","다운로드")</f>
        <v>다운로드</v>
      </c>
      <c r="M24" s="5" t="str">
        <f>HYPERLINK("http://www.lghausys.co.kr/popup/rn/download/downloadPopup.jsp?from=plwindow&amp;uu=/upload/window/DOCUMENT/INSTALL-E9-TD200.pdf","다운로드")</f>
        <v>다운로드</v>
      </c>
      <c r="N24" s="5" t="s">
        <v>19</v>
      </c>
      <c r="O24" s="5" t="s">
        <v>19</v>
      </c>
      <c r="P24" s="5" t="s">
        <v>19</v>
      </c>
      <c r="Q24" s="5" t="s">
        <v>19</v>
      </c>
      <c r="R24" s="5" t="str">
        <f>HYPERLINK("http://www.lghausys.co.kr/popup/rn/download/downloadPopup.jsp?from=plwindow&amp;uu=/upload/window/DOCUMENT/GUIDE-E9-TD200.hwp","다운로드")</f>
        <v>다운로드</v>
      </c>
      <c r="S24" s="5" t="s">
        <v>19</v>
      </c>
      <c r="T24" t="s">
        <v>19</v>
      </c>
      <c r="U24" t="s">
        <v>19</v>
      </c>
      <c r="V24" t="s">
        <v>19</v>
      </c>
      <c r="W24" t="s">
        <v>19</v>
      </c>
      <c r="X24" t="s">
        <v>19</v>
      </c>
    </row>
    <row r="25" spans="1:24">
      <c r="A25" t="s">
        <v>343</v>
      </c>
      <c r="B25" t="s">
        <v>443</v>
      </c>
      <c r="C25" t="s">
        <v>328</v>
      </c>
      <c r="D25" t="s">
        <v>344</v>
      </c>
      <c r="E25" t="s">
        <v>345</v>
      </c>
      <c r="F25" t="s">
        <v>19</v>
      </c>
      <c r="G25" s="5" t="s">
        <v>317</v>
      </c>
      <c r="H25" s="5" t="str">
        <f>HYPERLINK("http://www.lghausys.co.kr/popup/rn/download/downloadPopup.jsp?from=plwindow&amp;uu=/upload/window/DOCUMENT/SECTION-E9-TU200.dwg","다운로드")</f>
        <v>다운로드</v>
      </c>
      <c r="I25" s="5" t="str">
        <f>HYPERLINK("http://www.lghausys.co.kr/popup/rn/download/downloadPopup.jsp?from=plwindow&amp;uu=/upload/window/DOCUMENT/FRONT-E9-TU200.dwg","다운로드")</f>
        <v>다운로드</v>
      </c>
      <c r="J25" s="5" t="str">
        <f>HYPERLINK("http://www.lghausys.co.kr/popup/rn/download/downloadPopup.jsp?from=plwindow&amp;uu=/upload/window/DOCUMENT/INSTALL-E9-TU200.dwg","다운로드")</f>
        <v>다운로드</v>
      </c>
      <c r="K25" s="5" t="str">
        <f>HYPERLINK("http://www.lghausys.co.kr/popup/rn/download/downloadPopup.jsp?from=plwindow&amp;uu=/upload/window/DOCUMENT/SECTION-E9-TU200.pdf","다운로드")</f>
        <v>다운로드</v>
      </c>
      <c r="L25" s="5" t="str">
        <f>HYPERLINK("http://www.lghausys.co.kr/popup/rn/download/downloadPopup.jsp?from=plwindow&amp;uu=/upload/window/DOCUMENT/FRONT-E9-TU200.pdf","다운로드")</f>
        <v>다운로드</v>
      </c>
      <c r="M25" s="5" t="str">
        <f>HYPERLINK("http://www.lghausys.co.kr/popup/rn/download/downloadPopup.jsp?from=plwindow&amp;uu=/upload/window/DOCUMENT/INSTALL-E9-TU200.pdf","다운로드")</f>
        <v>다운로드</v>
      </c>
      <c r="N25" s="5" t="str">
        <f>HYPERLINK("http://www.lghausys.co.kr/popup/rn/download/downloadPopup.jsp?from=plwindow&amp;uu=/upload/window/INFO/INTRO-EUROSystem9Mini.pdf","다운로드")</f>
        <v>다운로드</v>
      </c>
      <c r="O25" s="5" t="s">
        <v>19</v>
      </c>
      <c r="P25" s="5" t="str">
        <f>HYPERLINK("http://www.lghausys.co.kr/popup/rn/download/downloadPopup.jsp?from=plwindow&amp;uu=/upload/window/INFO/REFLET-EUROSystem9Mini.pdf","다운로드")</f>
        <v>다운로드</v>
      </c>
      <c r="Q25" s="5" t="s">
        <v>19</v>
      </c>
      <c r="R25" s="5" t="str">
        <f>HYPERLINK("http://www.lghausys.co.kr/popup/rn/download/downloadPopup.jsp?from=plwindow&amp;uu=/upload/window/DOCUMENT/GUIDE-E9-TU200.hwp","다운로드")</f>
        <v>다운로드</v>
      </c>
      <c r="S25" s="5" t="str">
        <f>HYPERLINK("http://www.lghausys.co.kr/popup/rn/download/downloadPopup.jsp?from=plwindow&amp;uu=/upload/window/INFO/HELP-EUROSystem9Mini.pdf","다운로드")</f>
        <v>다운로드</v>
      </c>
      <c r="T25" t="s">
        <v>19</v>
      </c>
      <c r="U25" t="s">
        <v>19</v>
      </c>
      <c r="V25" t="s">
        <v>19</v>
      </c>
      <c r="W25" t="s">
        <v>19</v>
      </c>
      <c r="X25" t="s">
        <v>19</v>
      </c>
    </row>
    <row r="26" spans="1:24" s="27" customFormat="1">
      <c r="A26" s="11" t="s">
        <v>346</v>
      </c>
      <c r="B26" s="29" t="s">
        <v>670</v>
      </c>
      <c r="C26" s="29" t="s">
        <v>328</v>
      </c>
      <c r="D26" s="29" t="s">
        <v>334</v>
      </c>
      <c r="E26" s="29" t="s">
        <v>331</v>
      </c>
      <c r="F26" s="29" t="s">
        <v>19</v>
      </c>
      <c r="G26" s="30" t="s">
        <v>313</v>
      </c>
      <c r="H26" s="16" t="str">
        <f>HYPERLINK("http://www.lghausys.co.kr/popup/rn/download/downloadPopup.jsp?from=plwindow&amp;uu=/upload/window/DOCUMENT/SECTION-E9-PLS200.dwg","다운로드")</f>
        <v>다운로드</v>
      </c>
      <c r="I26" s="16" t="str">
        <f>HYPERLINK("http://www.lghausys.co.kr/popup/rn/download/downloadPopup.jsp?from=plwindow&amp;uu=/upload/window/DOCUMENT/FRONT-E9-PLS200.dwg","다운로드")</f>
        <v>다운로드</v>
      </c>
      <c r="J26" s="16" t="str">
        <f>HYPERLINK("http://www.lghausys.co.kr/popup/rn/download/downloadPopup.jsp?from=plwindow&amp;uu=/upload/window/DOCUMENT/INSTALL-E9-PLS200.dwg","다운로드")</f>
        <v>다운로드</v>
      </c>
      <c r="K26" s="16" t="str">
        <f>HYPERLINK("http://www.lghausys.co.kr/popup/rn/download/downloadPopup.jsp?from=plwindow&amp;uu=/upload/window/DOCUMENT/SECTION-E9-PLS200.pdf","다운로드")</f>
        <v>다운로드</v>
      </c>
      <c r="L26" s="16" t="str">
        <f>HYPERLINK("http://www.lghausys.co.kr/popup/rn/download/downloadPopup.jsp?from=plwindow&amp;uu=/upload/window/DOCUMENT/FRONT-E9-PLS200.pdf","다운로드")</f>
        <v>다운로드</v>
      </c>
      <c r="M26" s="16" t="str">
        <f>HYPERLINK("http://www.lghausys.co.kr/popup/rn/download/downloadPopup.jsp?from=plwindow&amp;uu=/upload/window/DOCUMENT/INSTALL-E9-PLS200.pdf","다운로드")</f>
        <v>다운로드</v>
      </c>
      <c r="N26" s="5"/>
      <c r="O26" s="28"/>
      <c r="P26" s="28"/>
      <c r="Q26" s="28"/>
      <c r="R26" s="28"/>
      <c r="S26" s="28" t="s">
        <v>19</v>
      </c>
      <c r="T26" s="27" t="str">
        <f>HYPERLINK("http://www.lghausys.co.kr/popup/rn/download/downloadPopup.jsp?from=plwindow&amp;uu=/upload/window/DOCUMENT/WINDMAX-PLS170N.pdf","다운로드")</f>
        <v>다운로드</v>
      </c>
      <c r="U26" s="27" t="str">
        <f>HYPERLINK("http://www.lghausys.co.kr/popup/rn/download/downloadPopup.jsp?from=plwindow&amp;uu=/upload/window/DOCUMENT/WIND20-PLS170N.pdf","다운로드")</f>
        <v>다운로드</v>
      </c>
      <c r="V26" s="27" t="str">
        <f>HYPERLINK("http://www.lghausys.co.kr/popup/rn/download/downloadPopup.jsp?from=plwindow&amp;uu=/upload/window/DOCUMENT/WIND15-PLS170N.pdf","다운로드")</f>
        <v>다운로드</v>
      </c>
      <c r="W26" s="27" t="str">
        <f>HYPERLINK("http://www.lghausys.co.kr/popup/rn/download/downloadPopup.jsp?from=plwindow&amp;uu=/upload/window/DOCUMENT/WIND10-PLS170N.pdf","다운로드")</f>
        <v>다운로드</v>
      </c>
      <c r="X26" s="27" t="str">
        <f>HYPERLINK("http://www.lghausys.co.kr/popup/rn/download/downloadPopup.jsp?from=plwindow&amp;uu=/upload/window/DOCUMENT/WIND05-PLS170N.pdf","다운로드")</f>
        <v>다운로드</v>
      </c>
    </row>
    <row r="27" spans="1:24">
      <c r="A27" t="s">
        <v>346</v>
      </c>
      <c r="B27" t="s">
        <v>55</v>
      </c>
      <c r="C27" t="s">
        <v>328</v>
      </c>
      <c r="D27" t="s">
        <v>334</v>
      </c>
      <c r="E27" t="s">
        <v>331</v>
      </c>
      <c r="F27" t="s">
        <v>19</v>
      </c>
      <c r="G27" s="5" t="s">
        <v>313</v>
      </c>
      <c r="H27" s="5" t="str">
        <f>HYPERLINK("http://www.lghausys.co.kr/popup/rn/download/downloadPopup.jsp?from=plwindow&amp;uu=/upload/window/DOCUMENT/SECTION-PLS170N.dwg","다운로드")</f>
        <v>다운로드</v>
      </c>
      <c r="I27" s="5" t="str">
        <f>HYPERLINK("http://www.lghausys.co.kr/popup/rn/download/downloadPopup.jsp?from=plwindow&amp;uu=/upload/window/DOCUMENT/FRONT-PLS170N.dwg","다운로드")</f>
        <v>다운로드</v>
      </c>
      <c r="J27" s="5" t="str">
        <f>HYPERLINK("http://www.lghausys.co.kr/popup/rn/download/downloadPopup.jsp?from=plwindow&amp;uu=/upload/window/DOCUMENT/INSTALL-PLS170N.dwg","다운로드")</f>
        <v>다운로드</v>
      </c>
      <c r="K27" s="5" t="str">
        <f>HYPERLINK("http://www.lghausys.co.kr/popup/rn/download/downloadPopup.jsp?from=plwindow&amp;uu=/upload/window/DOCUMENT/SECTION-PLS170N.pdf","다운로드")</f>
        <v>다운로드</v>
      </c>
      <c r="L27" s="5" t="str">
        <f>HYPERLINK("http://www.lghausys.co.kr/popup/rn/download/downloadPopup.jsp?from=plwindow&amp;uu=/upload/window/DOCUMENT/FRONT-PLS170N.pdf","다운로드")</f>
        <v>다운로드</v>
      </c>
      <c r="M27" s="5" t="str">
        <f>HYPERLINK("http://www.lghausys.co.kr/popup/rn/download/downloadPopup.jsp?from=plwindow&amp;uu=/upload/window/DOCUMENT/INSTALL-PLS170N.pdf","다운로드")</f>
        <v>다운로드</v>
      </c>
      <c r="N27" s="5" t="str">
        <f>HYPERLINK("http://www.lghausys.co.kr/popup/rn/download/downloadPopup.jsp?from=plwindow&amp;uu=/upload/window/INFO/INTRO-SystemWindow(LS-Deluxe).pdf","다운로드")</f>
        <v>다운로드</v>
      </c>
      <c r="O27" s="5" t="s">
        <v>19</v>
      </c>
      <c r="P27" s="5" t="str">
        <f>HYPERLINK("http://www.lghausys.co.kr/popup/rn/download/downloadPopup.jsp?from=plwindow&amp;uu=/upload/window/INFO/REFLET-SystemWindow(LS-Deluxe).pdf","다운로드")</f>
        <v>다운로드</v>
      </c>
      <c r="Q27" s="5" t="str">
        <f>HYPERLINK("http://www.lghausys.co.kr/popup/rn/download/downloadPopup.jsp?from=plwindow&amp;uu=/upload/window/INFO/REF-SystemWindow(LS-Deluxe).pdf","다운로드")</f>
        <v>다운로드</v>
      </c>
      <c r="R27" s="5" t="str">
        <f>HYPERLINK("http://www.lghausys.co.kr/popup/rn/download/downloadPopup.jsp?from=plwindow&amp;uu=/upload/window/DOCUMENT/GUIDE-PLS170N.hwp","다운로드")</f>
        <v>다운로드</v>
      </c>
      <c r="S27" s="5" t="s">
        <v>19</v>
      </c>
      <c r="T27" t="str">
        <f>HYPERLINK("http://www.lghausys.co.kr/popup/rn/download/downloadPopup.jsp?from=plwindow&amp;uu=/upload/window/DOCUMENT/WINDMAX-PLS170N.pdf","다운로드")</f>
        <v>다운로드</v>
      </c>
      <c r="U27" t="str">
        <f>HYPERLINK("http://www.lghausys.co.kr/popup/rn/download/downloadPopup.jsp?from=plwindow&amp;uu=/upload/window/DOCUMENT/WIND20-PLS170N.pdf","다운로드")</f>
        <v>다운로드</v>
      </c>
      <c r="V27" t="str">
        <f>HYPERLINK("http://www.lghausys.co.kr/popup/rn/download/downloadPopup.jsp?from=plwindow&amp;uu=/upload/window/DOCUMENT/WIND15-PLS170N.pdf","다운로드")</f>
        <v>다운로드</v>
      </c>
      <c r="W27" t="str">
        <f>HYPERLINK("http://www.lghausys.co.kr/popup/rn/download/downloadPopup.jsp?from=plwindow&amp;uu=/upload/window/DOCUMENT/WIND10-PLS170N.pdf","다운로드")</f>
        <v>다운로드</v>
      </c>
      <c r="X27" t="str">
        <f>HYPERLINK("http://www.lghausys.co.kr/popup/rn/download/downloadPopup.jsp?from=plwindow&amp;uu=/upload/window/DOCUMENT/WIND05-PLS170N.pdf","다운로드")</f>
        <v>다운로드</v>
      </c>
    </row>
    <row r="28" spans="1:24">
      <c r="A28" t="s">
        <v>347</v>
      </c>
      <c r="B28" t="s">
        <v>50</v>
      </c>
      <c r="C28" t="s">
        <v>328</v>
      </c>
      <c r="D28" t="s">
        <v>334</v>
      </c>
      <c r="E28" t="s">
        <v>348</v>
      </c>
      <c r="F28" t="s">
        <v>19</v>
      </c>
      <c r="G28" s="5" t="s">
        <v>315</v>
      </c>
      <c r="H28" s="5" t="str">
        <f>HYPERLINK("http://www.lghausys.co.kr/popup/rn/download/downloadPopup.jsp?from=plwindow&amp;uu=/upload/window/DOCUMENT/SECTION-SPS210.dwg","다운로드")</f>
        <v>다운로드</v>
      </c>
      <c r="I28" s="5" t="str">
        <f>HYPERLINK("http://www.lghausys.co.kr/popup/rn/download/downloadPopup.jsp?from=plwindow&amp;uu=/upload/window/DOCUMENT/FRONT-SPS210.dwg","다운로드")</f>
        <v>다운로드</v>
      </c>
      <c r="J28" s="5" t="str">
        <f>HYPERLINK("http://www.lghausys.co.kr/popup/rn/download/downloadPopup.jsp?from=plwindow&amp;uu=/upload/window/DOCUMENT/INSTALL-SPS210.dwg","다운로드")</f>
        <v>다운로드</v>
      </c>
      <c r="K28" s="5" t="str">
        <f>HYPERLINK("http://www.lghausys.co.kr/popup/rn/download/downloadPopup.jsp?from=plwindow&amp;uu=/upload/window/DOCUMENT/SECTION-SPS210.pdf","다운로드")</f>
        <v>다운로드</v>
      </c>
      <c r="L28" s="5" t="str">
        <f>HYPERLINK("http://www.lghausys.co.kr/popup/rn/download/downloadPopup.jsp?from=plwindow&amp;uu=/upload/window/DOCUMENT/FRONT-SPS210.pdf","다운로드")</f>
        <v>다운로드</v>
      </c>
      <c r="M28" s="5" t="str">
        <f>HYPERLINK("http://www.lghausys.co.kr/popup/rn/download/downloadPopup.jsp?from=plwindow&amp;uu=/upload/window/DOCUMENT/INSTALL-SPS210.pdf","다운로드")</f>
        <v>다운로드</v>
      </c>
      <c r="N28" s="5" t="str">
        <f>HYPERLINK("http://www.lghausys.co.kr/popup/rn/download/downloadPopup.jsp?from=plwindow&amp;uu=/upload/window/INFO/INTRO-SystemWindow(SPS).pdf","다운로드")</f>
        <v>다운로드</v>
      </c>
      <c r="O28" s="5" t="s">
        <v>19</v>
      </c>
      <c r="P28" s="5" t="str">
        <f>HYPERLINK("http://www.lghausys.co.kr/popup/rn/download/downloadPopup.jsp?from=plwindow&amp;uu=/upload/window/INFO/REFLET-SystemWindow(SPS).pdf","다운로드")</f>
        <v>다운로드</v>
      </c>
      <c r="Q28" s="5" t="str">
        <f>HYPERLINK("http://www.lghausys.co.kr/popup/rn/download/downloadPopup.jsp?from=plwindow&amp;uu=/upload/window/INFO/REF-SystemWindow(SPS).pdf","다운로드")</f>
        <v>다운로드</v>
      </c>
      <c r="R28" s="5" t="str">
        <f>HYPERLINK("http://www.lghausys.co.kr/popup/rn/download/downloadPopup.jsp?from=plwindow&amp;uu=/upload/window/DOCUMENT/GUIDE-SPS210.hwp","다운로드")</f>
        <v>다운로드</v>
      </c>
      <c r="S28" s="5" t="s">
        <v>19</v>
      </c>
      <c r="T28" t="str">
        <f>HYPERLINK("http://www.lghausys.co.kr/popup/rn/download/downloadPopup.jsp?from=plwindow&amp;uu=/upload/window/DOCUMENT/WINDMAX-SPS210.pdf","다운로드")</f>
        <v>다운로드</v>
      </c>
      <c r="U28" t="str">
        <f>HYPERLINK("http://www.lghausys.co.kr/popup/rn/download/downloadPopup.jsp?from=plwindow&amp;uu=/upload/window/DOCUMENT/WIND20-SPS210.pdf","다운로드")</f>
        <v>다운로드</v>
      </c>
      <c r="V28" t="str">
        <f>HYPERLINK("http://www.lghausys.co.kr/popup/rn/download/downloadPopup.jsp?from=plwindow&amp;uu=/upload/window/DOCUMENT/WIND15-SPS210.pdf","다운로드")</f>
        <v>다운로드</v>
      </c>
      <c r="W28" t="str">
        <f>HYPERLINK("http://www.lghausys.co.kr/popup/rn/download/downloadPopup.jsp?from=plwindow&amp;uu=/upload/window/DOCUMENT/WIND10-SPS210.pdf","다운로드")</f>
        <v>다운로드</v>
      </c>
      <c r="X28" t="str">
        <f>HYPERLINK("http://www.lghausys.co.kr/popup/rn/download/downloadPopup.jsp?from=plwindow&amp;uu=/upload/window/DOCUMENT/WIND05-SPS210.pdf","다운로드")</f>
        <v>다운로드</v>
      </c>
    </row>
    <row r="29" spans="1:24">
      <c r="A29" t="s">
        <v>347</v>
      </c>
      <c r="B29" t="s">
        <v>36</v>
      </c>
      <c r="C29" t="s">
        <v>328</v>
      </c>
      <c r="D29" t="s">
        <v>334</v>
      </c>
      <c r="E29" t="s">
        <v>348</v>
      </c>
      <c r="F29" t="s">
        <v>19</v>
      </c>
      <c r="G29" s="5" t="s">
        <v>315</v>
      </c>
      <c r="H29" s="5" t="str">
        <f>HYPERLINK("http://www.lghausys.co.kr/popup/rn/download/downloadPopup.jsp?from=plwindow&amp;uu=/upload/window/DOCUMENT/SECTION-SPS210S.dwg","다운로드")</f>
        <v>다운로드</v>
      </c>
      <c r="I29" s="5" t="str">
        <f>HYPERLINK("http://www.lghausys.co.kr/popup/rn/download/downloadPopup.jsp?from=plwindow&amp;uu=/upload/window/DOCUMENT/FRONT-SPS210S.dwg","다운로드")</f>
        <v>다운로드</v>
      </c>
      <c r="J29" s="5" t="s">
        <v>19</v>
      </c>
      <c r="K29" s="5" t="str">
        <f>HYPERLINK("http://www.lghausys.co.kr/popup/rn/download/downloadPopup.jsp?from=plwindow&amp;uu=/upload/window/DOCUMENT/SECTION-SPS210S.pdf","다운로드")</f>
        <v>다운로드</v>
      </c>
      <c r="L29" s="5" t="str">
        <f>HYPERLINK("http://www.lghausys.co.kr/popup/rn/download/downloadPopup.jsp?from=plwindow&amp;uu=/upload/window/DOCUMENT/FRONT-SPS210S.pdf","다운로드")</f>
        <v>다운로드</v>
      </c>
      <c r="M29" s="5" t="s">
        <v>19</v>
      </c>
      <c r="N29" s="5" t="str">
        <f>HYPERLINK("http://www.lghausys.co.kr/popup/rn/download/downloadPopup.jsp?from=plwindow&amp;uu=/upload/window/INFO/INTRO-SystemWindow(SPS).pdf","다운로드")</f>
        <v>다운로드</v>
      </c>
      <c r="O29" s="5" t="s">
        <v>19</v>
      </c>
      <c r="P29" s="5" t="str">
        <f>HYPERLINK("http://www.lghausys.co.kr/popup/rn/download/downloadPopup.jsp?from=plwindow&amp;uu=/upload/window/INFO/REFLET-SystemWindow(SPS).pdf","다운로드")</f>
        <v>다운로드</v>
      </c>
      <c r="Q29" s="5" t="s">
        <v>19</v>
      </c>
      <c r="R29" s="5" t="s">
        <v>19</v>
      </c>
      <c r="S29" s="5" t="s">
        <v>19</v>
      </c>
      <c r="T29" t="s">
        <v>19</v>
      </c>
      <c r="U29" t="s">
        <v>19</v>
      </c>
      <c r="V29" t="s">
        <v>19</v>
      </c>
      <c r="W29" t="s">
        <v>19</v>
      </c>
      <c r="X29" t="s">
        <v>19</v>
      </c>
    </row>
    <row r="30" spans="1:24">
      <c r="A30" t="s">
        <v>349</v>
      </c>
      <c r="B30" t="s">
        <v>30</v>
      </c>
      <c r="C30" t="s">
        <v>328</v>
      </c>
      <c r="D30" t="s">
        <v>334</v>
      </c>
      <c r="E30" t="s">
        <v>331</v>
      </c>
      <c r="F30" t="s">
        <v>330</v>
      </c>
      <c r="G30" s="5" t="s">
        <v>315</v>
      </c>
      <c r="H30" s="5" t="str">
        <f>HYPERLINK("http://www.lghausys.co.kr/popup/rn/download/downloadPopup.jsp?from=plwindow&amp;uu=/upload/window/DOCUMENT/SECTION-D290L.dwg","다운로드")</f>
        <v>다운로드</v>
      </c>
      <c r="I30" s="5" t="str">
        <f>HYPERLINK("http://www.lghausys.co.kr/popup/rn/download/downloadPopup.jsp?from=plwindow&amp;uu=/upload/window/DOCUMENT/FRONT-D290L.dwg","다운로드")</f>
        <v>다운로드</v>
      </c>
      <c r="J30" s="5" t="s">
        <v>19</v>
      </c>
      <c r="K30" s="5" t="str">
        <f>HYPERLINK("http://www.lghausys.co.kr/popup/rn/download/downloadPopup.jsp?from=plwindow&amp;uu=/upload/window/DOCUMENT/SECTION-D290L.pdf","다운로드")</f>
        <v>다운로드</v>
      </c>
      <c r="L30" s="5" t="str">
        <f>HYPERLINK("http://www.lghausys.co.kr/popup/rn/download/downloadPopup.jsp?from=plwindow&amp;uu=/upload/window/DOCUMENT/FRONT-D290L.pdf","다운로드")</f>
        <v>다운로드</v>
      </c>
      <c r="M30" s="5" t="s">
        <v>19</v>
      </c>
      <c r="N30" s="5" t="s">
        <v>19</v>
      </c>
      <c r="O30" s="5" t="s">
        <v>19</v>
      </c>
      <c r="P30" s="5" t="str">
        <f>HYPERLINK("http://www.lghausys.co.kr/popup/rn/download/downloadPopup.jsp?from=plwindow&amp;uu=/upload/window/INFO/REFLET-SystemWindow(SystemDoubleLayer).pdf","다운로드")</f>
        <v>다운로드</v>
      </c>
      <c r="Q30" s="5" t="s">
        <v>19</v>
      </c>
      <c r="R30" s="5" t="str">
        <f>HYPERLINK("http://www.lghausys.co.kr/popup/rn/download/downloadPopup.jsp?from=plwindow&amp;uu=/upload/window/DOCUMENT/GUIDE-D290L.hwp","다운로드")</f>
        <v>다운로드</v>
      </c>
      <c r="S30" s="5" t="s">
        <v>19</v>
      </c>
      <c r="T30" t="str">
        <f>HYPERLINK("http://www.lghausys.co.kr/popup/rn/download/downloadPopup.jsp?from=plwindow&amp;uu=/upload/window/DOCUMENT/WINDMAX-D290L.pdf","다운로드")</f>
        <v>다운로드</v>
      </c>
      <c r="U30" t="str">
        <f>HYPERLINK("http://www.lghausys.co.kr/popup/rn/download/downloadPopup.jsp?from=plwindow&amp;uu=/upload/window/DOCUMENT/WIND20-D290L.pdf","다운로드")</f>
        <v>다운로드</v>
      </c>
      <c r="V30" t="str">
        <f>HYPERLINK("http://www.lghausys.co.kr/popup/rn/download/downloadPopup.jsp?from=plwindow&amp;uu=/upload/window/DOCUMENT/WIND15-D290L.pdf","다운로드")</f>
        <v>다운로드</v>
      </c>
      <c r="W30" t="str">
        <f>HYPERLINK("http://www.lghausys.co.kr/popup/rn/download/downloadPopup.jsp?from=plwindow&amp;uu=/upload/window/DOCUMENT/WIND10-D290L.pdf","다운로드")</f>
        <v>다운로드</v>
      </c>
      <c r="X30" t="str">
        <f>HYPERLINK("http://www.lghausys.co.kr/popup/rn/download/downloadPopup.jsp?from=plwindow&amp;uu=/upload/window/DOCUMENT/WIND05-D290L.pdf","다운로드")</f>
        <v>다운로드</v>
      </c>
    </row>
    <row r="31" spans="1:24">
      <c r="A31" t="s">
        <v>350</v>
      </c>
      <c r="B31" t="s">
        <v>23</v>
      </c>
      <c r="C31" t="s">
        <v>328</v>
      </c>
      <c r="D31" t="s">
        <v>334</v>
      </c>
      <c r="E31" t="s">
        <v>331</v>
      </c>
      <c r="F31" t="s">
        <v>330</v>
      </c>
      <c r="G31" s="5" t="s">
        <v>315</v>
      </c>
      <c r="H31" s="5" t="s">
        <v>19</v>
      </c>
      <c r="I31" s="5" t="s">
        <v>19</v>
      </c>
      <c r="J31" s="5" t="s">
        <v>19</v>
      </c>
      <c r="K31" s="5" t="s">
        <v>19</v>
      </c>
      <c r="L31" s="5" t="s">
        <v>19</v>
      </c>
      <c r="M31" s="5" t="s">
        <v>19</v>
      </c>
      <c r="N31" s="5" t="str">
        <f>HYPERLINK("http://www.lghausys.co.kr/popup/rn/download/downloadPopup.jsp?from=plwindow&amp;uu=/upload/window/INFO/INTRO-SystemWindow(AutoBlind).pdf","다운로드")</f>
        <v>다운로드</v>
      </c>
      <c r="O31" s="5" t="s">
        <v>19</v>
      </c>
      <c r="P31" s="5" t="str">
        <f>HYPERLINK("http://www.lghausys.co.kr/popup/rn/download/downloadPopup.jsp?from=plwindow&amp;uu=/upload/window/INFO/REFLET-SystemWindow(AutoBlind).pdf","다운로드")</f>
        <v>다운로드</v>
      </c>
      <c r="Q31" s="5" t="s">
        <v>19</v>
      </c>
      <c r="R31" s="5" t="s">
        <v>19</v>
      </c>
      <c r="S31" s="5" t="s">
        <v>19</v>
      </c>
      <c r="T31" t="str">
        <f>HYPERLINK("http://www.lghausys.co.kr/popup/rn/download/downloadPopup.jsp?from=plwindow&amp;uu=/upload/window/DOCUMENT/WINDMAX-D295BL.pdf","다운로드")</f>
        <v>다운로드</v>
      </c>
      <c r="U31" t="str">
        <f>HYPERLINK("http://www.lghausys.co.kr/popup/rn/download/downloadPopup.jsp?from=plwindow&amp;uu=/upload/window/DOCUMENT/WIND20-D295BL.pdf","다운로드")</f>
        <v>다운로드</v>
      </c>
      <c r="V31" t="str">
        <f>HYPERLINK("http://www.lghausys.co.kr/popup/rn/download/downloadPopup.jsp?from=plwindow&amp;uu=/upload/window/DOCUMENT/WIND15-D295BL.pdf","다운로드")</f>
        <v>다운로드</v>
      </c>
      <c r="W31" t="str">
        <f>HYPERLINK("http://www.lghausys.co.kr/popup/rn/download/downloadPopup.jsp?from=plwindow&amp;uu=/upload/window/DOCUMENT/WIND10-D295BL.pdf","다운로드")</f>
        <v>다운로드</v>
      </c>
      <c r="X31" t="str">
        <f>HYPERLINK("http://www.lghausys.co.kr/popup/rn/download/downloadPopup.jsp?from=plwindow&amp;uu=/upload/window/DOCUMENT/WIND05-D295BL.pdf","다운로드")</f>
        <v>다운로드</v>
      </c>
    </row>
    <row r="32" spans="1:24">
      <c r="A32" t="s">
        <v>350</v>
      </c>
      <c r="B32" t="s">
        <v>35</v>
      </c>
      <c r="C32" t="s">
        <v>328</v>
      </c>
      <c r="D32" t="s">
        <v>334</v>
      </c>
      <c r="E32" t="s">
        <v>330</v>
      </c>
      <c r="F32" t="s">
        <v>19</v>
      </c>
      <c r="G32" s="5" t="s">
        <v>315</v>
      </c>
      <c r="H32" s="5" t="s">
        <v>19</v>
      </c>
      <c r="I32" s="5" t="s">
        <v>19</v>
      </c>
      <c r="J32" s="5" t="s">
        <v>19</v>
      </c>
      <c r="K32" s="5" t="s">
        <v>19</v>
      </c>
      <c r="L32" s="5" t="s">
        <v>19</v>
      </c>
      <c r="M32" s="5" t="s">
        <v>19</v>
      </c>
      <c r="N32" s="5" t="str">
        <f>HYPERLINK("http://www.lghausys.co.kr/popup/rn/download/downloadPopup.jsp?from=plwindow&amp;uu=/upload/window/INFO/INTRO-SystemWindow(AutoBlind).pdf","다운로드")</f>
        <v>다운로드</v>
      </c>
      <c r="O32" s="5" t="s">
        <v>19</v>
      </c>
      <c r="P32" s="5" t="str">
        <f>HYPERLINK("http://www.lghausys.co.kr/popup/rn/download/downloadPopup.jsp?from=plwindow&amp;uu=/upload/window/INFO/REFLET-SystemWindow(AutoBlind).pdf","다운로드")</f>
        <v>다운로드</v>
      </c>
      <c r="Q32" s="5" t="s">
        <v>19</v>
      </c>
      <c r="R32" s="5" t="s">
        <v>19</v>
      </c>
      <c r="S32" s="5" t="s">
        <v>19</v>
      </c>
      <c r="T32" t="str">
        <f>HYPERLINK("http://www.lghausys.co.kr/popup/rn/download/downloadPopup.jsp?from=plwindow&amp;uu=/upload/window/DOCUMENT/WINDMAX-B158BL.pdf","다운로드")</f>
        <v>다운로드</v>
      </c>
      <c r="U32" t="str">
        <f>HYPERLINK("http://www.lghausys.co.kr/popup/rn/download/downloadPopup.jsp?from=plwindow&amp;uu=/upload/window/DOCUMENT/WIND20-B158BL.pdf","다운로드")</f>
        <v>다운로드</v>
      </c>
      <c r="V32" t="str">
        <f>HYPERLINK("http://www.lghausys.co.kr/popup/rn/download/downloadPopup.jsp?from=plwindow&amp;uu=/upload/window/DOCUMENT/WIND15-B158BL.pdf","다운로드")</f>
        <v>다운로드</v>
      </c>
      <c r="W32" t="str">
        <f>HYPERLINK("http://www.lghausys.co.kr/popup/rn/download/downloadPopup.jsp?from=plwindow&amp;uu=/upload/window/DOCUMENT/WIND10-B158BL.pdf","다운로드")</f>
        <v>다운로드</v>
      </c>
      <c r="X32" t="str">
        <f>HYPERLINK("http://www.lghausys.co.kr/popup/rn/download/downloadPopup.jsp?from=plwindow&amp;uu=/upload/window/DOCUMENT/WIND05-B158BL.pdf","다운로드")</f>
        <v>다운로드</v>
      </c>
    </row>
    <row r="33" spans="1:24">
      <c r="A33" t="s">
        <v>351</v>
      </c>
      <c r="B33" t="s">
        <v>119</v>
      </c>
      <c r="C33" t="s">
        <v>328</v>
      </c>
      <c r="D33" t="s">
        <v>352</v>
      </c>
      <c r="E33" t="s">
        <v>330</v>
      </c>
      <c r="F33" t="s">
        <v>331</v>
      </c>
      <c r="G33" s="5" t="s">
        <v>315</v>
      </c>
      <c r="H33" s="5" t="s">
        <v>19</v>
      </c>
      <c r="I33" s="5" t="s">
        <v>19</v>
      </c>
      <c r="J33" s="5" t="s">
        <v>19</v>
      </c>
      <c r="K33" s="5" t="s">
        <v>19</v>
      </c>
      <c r="L33" s="5" t="s">
        <v>19</v>
      </c>
      <c r="M33" s="5" t="s">
        <v>19</v>
      </c>
      <c r="N33" s="5" t="str">
        <f>HYPERLINK("http://www.lghausys.co.kr/popup/rn/download/downloadPopup.jsp?from=plwindow&amp;uu=/upload/window/INFO/INTRO-SystemWindow(SplitFacade-AutoBlind).pdf","다운로드")</f>
        <v>다운로드</v>
      </c>
      <c r="O33" s="5" t="s">
        <v>19</v>
      </c>
      <c r="P33" s="5" t="str">
        <f>HYPERLINK("http://www.lghausys.co.kr/popup/rn/download/downloadPopup.jsp?from=plwindow&amp;uu=/upload/window/INFO/REFLET-SystemWindow(SplitFacade-AutoBlind).pdf","다운로드")</f>
        <v>다운로드</v>
      </c>
      <c r="Q33" s="5" t="s">
        <v>19</v>
      </c>
      <c r="R33" s="5" t="s">
        <v>19</v>
      </c>
      <c r="S33" s="5" t="s">
        <v>19</v>
      </c>
      <c r="T33" t="s">
        <v>19</v>
      </c>
      <c r="U33" t="s">
        <v>19</v>
      </c>
      <c r="V33" t="s">
        <v>19</v>
      </c>
      <c r="W33" t="s">
        <v>19</v>
      </c>
      <c r="X33" t="s">
        <v>19</v>
      </c>
    </row>
    <row r="34" spans="1:24">
      <c r="A34" t="s">
        <v>353</v>
      </c>
      <c r="B34" t="s">
        <v>78</v>
      </c>
      <c r="C34" t="s">
        <v>328</v>
      </c>
      <c r="D34" t="s">
        <v>352</v>
      </c>
      <c r="E34" t="s">
        <v>330</v>
      </c>
      <c r="F34" t="s">
        <v>19</v>
      </c>
      <c r="G34" s="5" t="s">
        <v>315</v>
      </c>
      <c r="H34" s="5" t="s">
        <v>19</v>
      </c>
      <c r="I34" s="5" t="s">
        <v>19</v>
      </c>
      <c r="J34" s="5" t="s">
        <v>19</v>
      </c>
      <c r="K34" s="5" t="s">
        <v>19</v>
      </c>
      <c r="L34" s="5" t="s">
        <v>19</v>
      </c>
      <c r="M34" s="5" t="s">
        <v>19</v>
      </c>
      <c r="N34" s="5" t="str">
        <f>HYPERLINK("http://www.lghausys.co.kr/popup/rn/download/downloadPopup.jsp?from=plwindow&amp;uu=/upload/window/INFO/INTRO-SystemWindow(SplitFacade).pdf","다운로드")</f>
        <v>다운로드</v>
      </c>
      <c r="O34" s="5" t="s">
        <v>19</v>
      </c>
      <c r="P34" s="5" t="str">
        <f>HYPERLINK("http://www.lghausys.co.kr/popup/rn/download/downloadPopup.jsp?from=plwindow&amp;uu=/upload/window/INFO/REFLET-SystemWindow(SplitFacade).pdf","다운로드")</f>
        <v>다운로드</v>
      </c>
      <c r="Q34" s="5" t="s">
        <v>19</v>
      </c>
      <c r="R34" s="5" t="str">
        <f>HYPERLINK("http://www.lghausys.co.kr/popup/rn/download/downloadPopup.jsp?from=plwindow&amp;uu=/upload/window/DOCUMENT/GUIDE-PLS143S.hwp","다운로드")</f>
        <v>다운로드</v>
      </c>
      <c r="S34" s="5" t="s">
        <v>19</v>
      </c>
      <c r="T34" t="s">
        <v>19</v>
      </c>
      <c r="U34" t="s">
        <v>19</v>
      </c>
      <c r="V34" t="s">
        <v>19</v>
      </c>
      <c r="W34" t="s">
        <v>19</v>
      </c>
      <c r="X34" t="s">
        <v>19</v>
      </c>
    </row>
    <row r="35" spans="1:24">
      <c r="A35" t="s">
        <v>354</v>
      </c>
      <c r="B35" t="s">
        <v>27</v>
      </c>
      <c r="C35" t="s">
        <v>328</v>
      </c>
      <c r="D35" t="s">
        <v>352</v>
      </c>
      <c r="E35" t="s">
        <v>330</v>
      </c>
      <c r="F35" t="s">
        <v>331</v>
      </c>
      <c r="G35" s="5" t="s">
        <v>315</v>
      </c>
      <c r="H35" s="5" t="s">
        <v>19</v>
      </c>
      <c r="I35" s="5" t="s">
        <v>19</v>
      </c>
      <c r="J35" s="5" t="s">
        <v>19</v>
      </c>
      <c r="K35" s="5" t="s">
        <v>19</v>
      </c>
      <c r="L35" s="5" t="s">
        <v>19</v>
      </c>
      <c r="M35" s="5" t="s">
        <v>19</v>
      </c>
      <c r="N35" s="5" t="str">
        <f>HYPERLINK("http://www.lghausys.co.kr/popup/rn/download/downloadPopup.jsp?from=plwindow&amp;uu=/upload/window/INFO/INTRO-SystemWindow(SplitFacade).pdf","다운로드")</f>
        <v>다운로드</v>
      </c>
      <c r="O35" s="5" t="s">
        <v>19</v>
      </c>
      <c r="P35" s="5" t="str">
        <f>HYPERLINK("http://www.lghausys.co.kr/popup/rn/download/downloadPopup.jsp?from=plwindow&amp;uu=/upload/window/INFO/REFLET-SystemWindow(SplitFacade).pdf","다운로드")</f>
        <v>다운로드</v>
      </c>
      <c r="Q35" s="5" t="s">
        <v>19</v>
      </c>
      <c r="R35" s="5" t="str">
        <f>HYPERLINK("http://www.lghausys.co.kr/popup/rn/download/downloadPopup.jsp?from=plwindow&amp;uu=/upload/window/DOCUMENT/GUIDE-PLS256D.hwp","다운로드")</f>
        <v>다운로드</v>
      </c>
      <c r="S35" s="5" t="s">
        <v>19</v>
      </c>
      <c r="T35" t="s">
        <v>19</v>
      </c>
      <c r="U35" t="s">
        <v>19</v>
      </c>
      <c r="V35" t="s">
        <v>19</v>
      </c>
      <c r="W35" t="s">
        <v>19</v>
      </c>
      <c r="X35" t="s">
        <v>19</v>
      </c>
    </row>
    <row r="36" spans="1:24">
      <c r="A36" t="s">
        <v>355</v>
      </c>
      <c r="B36" t="s">
        <v>18</v>
      </c>
      <c r="C36" t="s">
        <v>328</v>
      </c>
      <c r="D36" t="s">
        <v>355</v>
      </c>
      <c r="E36" t="s">
        <v>356</v>
      </c>
      <c r="F36" t="s">
        <v>19</v>
      </c>
      <c r="G36" s="5" t="s">
        <v>315</v>
      </c>
      <c r="H36" s="5" t="str">
        <f>HYPERLINK("http://www.lghausys.co.kr/popup/rn/download/downloadPopup.jsp?from=plwindow&amp;uu=/upload/window/DOCUMENT/SECTION-PTT70IN.dwg","다운로드")</f>
        <v>다운로드</v>
      </c>
      <c r="I36" s="5" t="str">
        <f>HYPERLINK("http://www.lghausys.co.kr/popup/rn/download/downloadPopup.jsp?from=plwindow&amp;uu=/upload/window/DOCUMENT/FRONT-PTT70IN.dwg","다운로드")</f>
        <v>다운로드</v>
      </c>
      <c r="J36" s="5" t="s">
        <v>19</v>
      </c>
      <c r="K36" s="5" t="str">
        <f>HYPERLINK("http://www.lghausys.co.kr/popup/rn/download/downloadPopup.jsp?from=plwindow&amp;uu=/upload/window/DOCUMENT/SECTION-PTT70IN.pdf","다운로드")</f>
        <v>다운로드</v>
      </c>
      <c r="L36" s="5" t="str">
        <f>HYPERLINK("http://www.lghausys.co.kr/popup/rn/download/downloadPopup.jsp?from=plwindow&amp;uu=/upload/window/DOCUMENT/FRONT-PTT70IN.pdf","다운로드")</f>
        <v>다운로드</v>
      </c>
      <c r="M36" s="5" t="s">
        <v>19</v>
      </c>
      <c r="N36" s="5" t="str">
        <f>HYPERLINK("http://www.lghausys.co.kr/popup/rn/download/downloadPopup.jsp?from=plwindow&amp;uu=/upload/window/INFO/INTRO-SystemWindow(Escape).pdf","다운로드")</f>
        <v>다운로드</v>
      </c>
      <c r="O36" s="5" t="s">
        <v>19</v>
      </c>
      <c r="P36" s="5" t="s">
        <v>19</v>
      </c>
      <c r="Q36" s="5" t="s">
        <v>19</v>
      </c>
      <c r="R36" s="5" t="s">
        <v>19</v>
      </c>
      <c r="S36" s="5" t="str">
        <f>HYPERLINK("http://www.lghausys.co.kr/popup/rn/download/downloadPopup.jsp?from=plwindow&amp;uu=/upload/window/INFO/HELP-SystemWindow(Escape).pdf","다운로드")</f>
        <v>다운로드</v>
      </c>
      <c r="T36" t="s">
        <v>19</v>
      </c>
      <c r="U36" t="s">
        <v>19</v>
      </c>
      <c r="V36" t="s">
        <v>19</v>
      </c>
      <c r="W36" t="s">
        <v>19</v>
      </c>
      <c r="X36" t="s">
        <v>19</v>
      </c>
    </row>
    <row r="37" spans="1:24">
      <c r="A37" t="s">
        <v>357</v>
      </c>
      <c r="B37" t="s">
        <v>240</v>
      </c>
      <c r="C37" t="s">
        <v>358</v>
      </c>
      <c r="D37" t="s">
        <v>334</v>
      </c>
      <c r="E37" t="s">
        <v>330</v>
      </c>
      <c r="F37" t="s">
        <v>330</v>
      </c>
      <c r="G37" s="5" t="s">
        <v>315</v>
      </c>
      <c r="H37" s="5" t="s">
        <v>19</v>
      </c>
      <c r="I37" s="5" t="s">
        <v>19</v>
      </c>
      <c r="J37" s="5" t="s">
        <v>19</v>
      </c>
      <c r="K37" s="5" t="s">
        <v>19</v>
      </c>
      <c r="L37" s="5" t="s">
        <v>19</v>
      </c>
      <c r="M37" s="5" t="s">
        <v>19</v>
      </c>
      <c r="N37" s="5" t="s">
        <v>19</v>
      </c>
      <c r="O37" s="5" t="s">
        <v>19</v>
      </c>
      <c r="P37" s="5" t="s">
        <v>19</v>
      </c>
      <c r="Q37" s="5" t="s">
        <v>19</v>
      </c>
      <c r="R37" s="5" t="s">
        <v>19</v>
      </c>
      <c r="S37" s="5" t="s">
        <v>19</v>
      </c>
      <c r="T37" t="s">
        <v>19</v>
      </c>
      <c r="U37" t="s">
        <v>19</v>
      </c>
      <c r="V37" t="s">
        <v>19</v>
      </c>
      <c r="W37" t="s">
        <v>19</v>
      </c>
      <c r="X37" t="s">
        <v>19</v>
      </c>
    </row>
    <row r="38" spans="1:24">
      <c r="A38" t="s">
        <v>359</v>
      </c>
      <c r="B38" t="s">
        <v>244</v>
      </c>
      <c r="C38" t="s">
        <v>358</v>
      </c>
      <c r="D38" t="s">
        <v>334</v>
      </c>
      <c r="E38" t="s">
        <v>330</v>
      </c>
      <c r="F38" t="s">
        <v>330</v>
      </c>
      <c r="G38" s="5" t="s">
        <v>315</v>
      </c>
      <c r="H38" s="5" t="s">
        <v>19</v>
      </c>
      <c r="I38" s="5" t="s">
        <v>19</v>
      </c>
      <c r="J38" s="5" t="s">
        <v>19</v>
      </c>
      <c r="K38" s="5" t="s">
        <v>19</v>
      </c>
      <c r="L38" s="5" t="s">
        <v>19</v>
      </c>
      <c r="M38" s="5" t="s">
        <v>19</v>
      </c>
      <c r="N38" s="5" t="s">
        <v>19</v>
      </c>
      <c r="O38" s="5" t="s">
        <v>19</v>
      </c>
      <c r="P38" s="5" t="s">
        <v>19</v>
      </c>
      <c r="Q38" s="5" t="s">
        <v>19</v>
      </c>
      <c r="R38" s="5" t="s">
        <v>19</v>
      </c>
      <c r="S38" s="5" t="s">
        <v>19</v>
      </c>
      <c r="T38" t="s">
        <v>19</v>
      </c>
      <c r="U38" t="s">
        <v>19</v>
      </c>
      <c r="V38" t="s">
        <v>19</v>
      </c>
      <c r="W38" t="s">
        <v>19</v>
      </c>
      <c r="X38" t="s">
        <v>19</v>
      </c>
    </row>
    <row r="39" spans="1:24">
      <c r="A39" t="s">
        <v>605</v>
      </c>
      <c r="B39" t="s">
        <v>513</v>
      </c>
      <c r="C39" t="s">
        <v>358</v>
      </c>
      <c r="D39" t="s">
        <v>334</v>
      </c>
      <c r="E39" t="s">
        <v>330</v>
      </c>
      <c r="F39" t="s">
        <v>330</v>
      </c>
      <c r="G39" s="5" t="s">
        <v>317</v>
      </c>
      <c r="H39" s="5" t="str">
        <f>HYPERLINK("http://www.lghausys.co.kr/popup/rn/download/downloadPopup.jsp?from=plwindow&amp;uu=/upload/window/DOCUMENT/SECTION-S7-290N.dwg","다운로드")</f>
        <v>다운로드</v>
      </c>
      <c r="I39" s="5" t="str">
        <f>HYPERLINK("http://www.lghausys.co.kr/popup/rn/download/downloadPopup.jsp?from=plwindow&amp;uu=/upload/window/DOCUMENT/FRONT-S7-290N.dwg","다운로드")</f>
        <v>다운로드</v>
      </c>
      <c r="J39" s="5" t="str">
        <f>HYPERLINK("http://www.lghausys.co.kr/popup/rn/download/downloadPopup.jsp?from=plwindow&amp;uu=/upload/window/DOCUMENT/INSTALL-S7-290N.dwg","다운로드")</f>
        <v>다운로드</v>
      </c>
      <c r="K39" s="5" t="str">
        <f>HYPERLINK("http://www.lghausys.co.kr/popup/rn/download/downloadPopup.jsp?from=plwindow&amp;uu=/upload/window/DOCUMENT/SECTION-S7-290N.pdf","다운로드")</f>
        <v>다운로드</v>
      </c>
      <c r="L39" s="5" t="str">
        <f>HYPERLINK("http://www.lghausys.co.kr/popup/rn/download/downloadPopup.jsp?from=plwindow&amp;uu=/upload/window/DOCUMENT/FRONT-S7-290N.pdf","다운로드")</f>
        <v>다운로드</v>
      </c>
      <c r="M39" s="5" t="str">
        <f>HYPERLINK("http://www.lghausys.co.kr/popup/rn/download/downloadPopup.jsp?from=plwindow&amp;uu=/upload/window/DOCUMENT/INSTALL-S7-290N.pdf","다운로드")</f>
        <v>다운로드</v>
      </c>
      <c r="N39" s="5" t="str">
        <f>HYPERLINK("http://www.lghausys.co.kr/popup/rn/download/downloadPopup.jsp?from=plwindow&amp;uu=/upload/window/INFO/INTRO-SUPERSave7New.pdf","다운로드")</f>
        <v>다운로드</v>
      </c>
      <c r="O39" s="5" t="s">
        <v>19</v>
      </c>
      <c r="P39" s="5" t="str">
        <f>HYPERLINK("http://www.lghausys.co.kr/popup/rn/download/downloadPopup.jsp?from=plwindow&amp;uu=/upload/window/INFO/REFLET-SUPERSave7New.pdf","다운로드")</f>
        <v>다운로드</v>
      </c>
      <c r="Q39" s="5" t="s">
        <v>19</v>
      </c>
      <c r="R39" s="5" t="s">
        <v>19</v>
      </c>
      <c r="S39" s="5" t="s">
        <v>19</v>
      </c>
      <c r="T39" t="s">
        <v>19</v>
      </c>
      <c r="U39" t="s">
        <v>19</v>
      </c>
      <c r="V39" t="s">
        <v>19</v>
      </c>
      <c r="W39" t="s">
        <v>19</v>
      </c>
      <c r="X39" t="s">
        <v>19</v>
      </c>
    </row>
    <row r="40" spans="1:24">
      <c r="A40" t="s">
        <v>606</v>
      </c>
      <c r="B40" t="s">
        <v>510</v>
      </c>
      <c r="C40" t="s">
        <v>358</v>
      </c>
      <c r="D40" t="s">
        <v>334</v>
      </c>
      <c r="E40" t="s">
        <v>330</v>
      </c>
      <c r="F40" t="s">
        <v>330</v>
      </c>
      <c r="G40" s="5" t="s">
        <v>317</v>
      </c>
      <c r="H40" s="5" t="str">
        <f>HYPERLINK("http://www.lghausys.co.kr/popup/rn/download/downloadPopup.jsp?from=plwindow&amp;uu=/upload/window/DOCUMENT/SECTION-S7-150N.dwg","다운로드")</f>
        <v>다운로드</v>
      </c>
      <c r="I40" s="5" t="str">
        <f>HYPERLINK("http://www.lghausys.co.kr/popup/rn/download/downloadPopup.jsp?from=plwindow&amp;uu=/upload/window/DOCUMENT/FRONT-S7-150N.dwg","다운로드")</f>
        <v>다운로드</v>
      </c>
      <c r="J40" s="5" t="str">
        <f>HYPERLINK("http://www.lghausys.co.kr/popup/rn/download/downloadPopup.jsp?from=plwindow&amp;uu=/upload/window/DOCUMENT/INSTALL-S7-150N.dwg","다운로드")</f>
        <v>다운로드</v>
      </c>
      <c r="K40" s="5" t="str">
        <f>HYPERLINK("http://www.lghausys.co.kr/popup/rn/download/downloadPopup.jsp?from=plwindow&amp;uu=/upload/window/DOCUMENT/SECTION-S7-150N.pdf","다운로드")</f>
        <v>다운로드</v>
      </c>
      <c r="L40" s="5" t="str">
        <f>HYPERLINK("http://www.lghausys.co.kr/popup/rn/download/downloadPopup.jsp?from=plwindow&amp;uu=/upload/window/DOCUMENT/FRONT-S7-150N.pdf","다운로드")</f>
        <v>다운로드</v>
      </c>
      <c r="M40" s="5" t="str">
        <f>HYPERLINK("http://www.lghausys.co.kr/popup/rn/download/downloadPopup.jsp?from=plwindow&amp;uu=/upload/window/DOCUMENT/INSTALL-S7-150N.pdf","다운로드")</f>
        <v>다운로드</v>
      </c>
      <c r="N40" s="5" t="str">
        <f>HYPERLINK("http://www.lghausys.co.kr/popup/rn/download/downloadPopup.jsp?from=plwindow&amp;uu=/upload/window/INFO/INTRO-SUPERSave7New.pdf","다운로드")</f>
        <v>다운로드</v>
      </c>
      <c r="O40" s="5" t="s">
        <v>19</v>
      </c>
      <c r="P40" s="5" t="str">
        <f>HYPERLINK("http://www.lghausys.co.kr/popup/rn/download/downloadPopup.jsp?from=plwindow&amp;uu=/upload/window/INFO/REFLET-SUPERSave7New.pdf","다운로드")</f>
        <v>다운로드</v>
      </c>
      <c r="Q40" s="5" t="s">
        <v>19</v>
      </c>
      <c r="R40" s="5" t="s">
        <v>19</v>
      </c>
      <c r="S40" s="5" t="s">
        <v>19</v>
      </c>
      <c r="T40" t="s">
        <v>19</v>
      </c>
      <c r="U40" t="s">
        <v>19</v>
      </c>
      <c r="V40" t="s">
        <v>19</v>
      </c>
      <c r="W40" t="s">
        <v>19</v>
      </c>
      <c r="X40" t="s">
        <v>19</v>
      </c>
    </row>
    <row r="41" spans="1:24">
      <c r="A41" t="s">
        <v>360</v>
      </c>
      <c r="B41" t="s">
        <v>60</v>
      </c>
      <c r="C41" t="s">
        <v>358</v>
      </c>
      <c r="D41" t="s">
        <v>334</v>
      </c>
      <c r="E41" t="s">
        <v>330</v>
      </c>
      <c r="F41" t="s">
        <v>330</v>
      </c>
      <c r="G41" s="5" t="s">
        <v>317</v>
      </c>
      <c r="H41" s="5" t="str">
        <f>HYPERLINK("http://www.lghausys.co.kr/popup/rn/download/downloadPopup.jsp?from=plwindow&amp;uu=/upload/window/DOCUMENT/SECTION-S7-255.dwg","다운로드")</f>
        <v>다운로드</v>
      </c>
      <c r="I41" s="5" t="str">
        <f>HYPERLINK("http://www.lghausys.co.kr/popup/rn/download/downloadPopup.jsp?from=plwindow&amp;uu=/upload/window/DOCUMENT/FRONT-S7-255.dwg","다운로드")</f>
        <v>다운로드</v>
      </c>
      <c r="J41" s="5" t="str">
        <f>HYPERLINK("http://www.lghausys.co.kr/popup/rn/download/downloadPopup.jsp?from=plwindow&amp;uu=/upload/window/DOCUMENT/INSTALL-S7-255.dwg","다운로드")</f>
        <v>다운로드</v>
      </c>
      <c r="K41" s="5" t="str">
        <f>HYPERLINK("http://www.lghausys.co.kr/popup/rn/download/downloadPopup.jsp?from=plwindow&amp;uu=/upload/window/DOCUMENT/SECTION-S7-255.pdf","다운로드")</f>
        <v>다운로드</v>
      </c>
      <c r="L41" s="5" t="str">
        <f>HYPERLINK("http://www.lghausys.co.kr/popup/rn/download/downloadPopup.jsp?from=plwindow&amp;uu=/upload/window/DOCUMENT/FRONT-S7-255.pdf","다운로드")</f>
        <v>다운로드</v>
      </c>
      <c r="M41" s="5" t="str">
        <f>HYPERLINK("http://www.lghausys.co.kr/popup/rn/download/downloadPopup.jsp?from=plwindow&amp;uu=/upload/window/DOCUMENT/INSTALL-S7-255.pdf","다운로드")</f>
        <v>다운로드</v>
      </c>
      <c r="N41" s="5" t="str">
        <f>HYPERLINK("http://www.lghausys.co.kr/popup/rn/download/downloadPopup.jsp?from=plwindow&amp;uu=/upload/window/INFO/INTRO-SUPERSave7.pdf","다운로드")</f>
        <v>다운로드</v>
      </c>
      <c r="O41" s="5" t="str">
        <f>HYPERLINK("http://www.lghausys.co.kr/popup/rn/download/downloadPopup.jsp?from=plwindow&amp;uu=/upload/window/INFO/INTRO(B2B)-SUPERSave7.pdf","다운로드")</f>
        <v>다운로드</v>
      </c>
      <c r="P41" s="5" t="str">
        <f>HYPERLINK("http://www.lghausys.co.kr/popup/rn/download/downloadPopup.jsp?from=plwindow&amp;uu=/upload/window/INFO/REFLET-SUPERSave7.pdf","다운로드")</f>
        <v>다운로드</v>
      </c>
      <c r="Q41" s="5" t="str">
        <f>HYPERLINK("http://www.lghausys.co.kr/popup/rn/download/downloadPopup.jsp?from=plwindow&amp;uu=/upload/window/INFO/REF-SUPERSave7.pdf","다운로드")</f>
        <v>다운로드</v>
      </c>
      <c r="R41" s="5" t="str">
        <f>HYPERLINK("http://www.lghausys.co.kr/popup/rn/download/downloadPopup.jsp?from=plwindow&amp;uu=/upload/window/DOCUMENT/GUIDE-S7-255.hwp","다운로드")</f>
        <v>다운로드</v>
      </c>
      <c r="S41" s="5" t="s">
        <v>19</v>
      </c>
      <c r="T41" t="str">
        <f>HYPERLINK("http://www.lghausys.co.kr/popup/rn/download/downloadPopup.jsp?from=plwindow&amp;uu=/upload/window/DOCUMENT/WINDMAX-S7-255.pdf","다운로드")</f>
        <v>다운로드</v>
      </c>
      <c r="U41" t="str">
        <f>HYPERLINK("http://www.lghausys.co.kr/popup/rn/download/downloadPopup.jsp?from=plwindow&amp;uu=/upload/window/DOCUMENT/WIND20-S7-255.pdf","다운로드")</f>
        <v>다운로드</v>
      </c>
      <c r="V41" t="str">
        <f>HYPERLINK("http://www.lghausys.co.kr/popup/rn/download/downloadPopup.jsp?from=plwindow&amp;uu=/upload/window/DOCUMENT/WIND15-S7-255.pdf","다운로드")</f>
        <v>다운로드</v>
      </c>
      <c r="W41" t="str">
        <f>HYPERLINK("http://www.lghausys.co.kr/popup/rn/download/downloadPopup.jsp?from=plwindow&amp;uu=/upload/window/DOCUMENT/WIND10-S7-255.pdf","다운로드")</f>
        <v>다운로드</v>
      </c>
      <c r="X41" t="str">
        <f>HYPERLINK("http://www.lghausys.co.kr/popup/rn/download/downloadPopup.jsp?from=plwindow&amp;uu=/upload/window/DOCUMENT/WIND05-S7-255.pdf","다운로드")</f>
        <v>다운로드</v>
      </c>
    </row>
    <row r="42" spans="1:24">
      <c r="A42" t="s">
        <v>361</v>
      </c>
      <c r="B42" t="s">
        <v>202</v>
      </c>
      <c r="C42" t="s">
        <v>358</v>
      </c>
      <c r="D42" t="s">
        <v>334</v>
      </c>
      <c r="E42" t="s">
        <v>330</v>
      </c>
      <c r="F42" t="s">
        <v>19</v>
      </c>
      <c r="G42" s="5" t="s">
        <v>317</v>
      </c>
      <c r="H42" s="5" t="s">
        <v>19</v>
      </c>
      <c r="I42" s="5" t="s">
        <v>19</v>
      </c>
      <c r="J42" s="5" t="s">
        <v>19</v>
      </c>
      <c r="K42" s="5" t="s">
        <v>19</v>
      </c>
      <c r="L42" s="5" t="s">
        <v>19</v>
      </c>
      <c r="M42" s="5" t="s">
        <v>19</v>
      </c>
      <c r="N42" s="5" t="s">
        <v>19</v>
      </c>
      <c r="O42" s="5" t="s">
        <v>19</v>
      </c>
      <c r="P42" s="5" t="str">
        <f>HYPERLINK("http://www.lghausys.co.kr/popup/rn/download/downloadPopup.jsp?from=plwindow&amp;uu=/upload/window/INFO/REFLET-SUPERSave7.pdf","다운로드")</f>
        <v>다운로드</v>
      </c>
      <c r="Q42" s="5" t="str">
        <f>HYPERLINK("http://www.lghausys.co.kr/popup/rn/download/downloadPopup.jsp?from=plwindow&amp;uu=/upload/window/INFO/REF-SUPERSave7.pdf","다운로드")</f>
        <v>다운로드</v>
      </c>
      <c r="R42" s="5" t="str">
        <f>HYPERLINK("http://www.lghausys.co.kr/popup/rn/download/downloadPopup.jsp?from=plwindow&amp;uu=/upload/window/DOCUMENT/GUIDE-S7-140.hwp","다운로드")</f>
        <v>다운로드</v>
      </c>
      <c r="S42" s="5" t="s">
        <v>19</v>
      </c>
      <c r="T42" t="str">
        <f>HYPERLINK("http://www.lghausys.co.kr/popup/rn/download/downloadPopup.jsp?from=plwindow&amp;uu=/upload/window/DOCUMENT/WINDMAX-S7-140.pdf","다운로드")</f>
        <v>다운로드</v>
      </c>
      <c r="U42" t="str">
        <f>HYPERLINK("http://www.lghausys.co.kr/popup/rn/download/downloadPopup.jsp?from=plwindow&amp;uu=/upload/window/DOCUMENT/WIND20-S7-140.pdf","다운로드")</f>
        <v>다운로드</v>
      </c>
      <c r="V42" t="str">
        <f>HYPERLINK("http://www.lghausys.co.kr/popup/rn/download/downloadPopup.jsp?from=plwindow&amp;uu=/upload/window/DOCUMENT/WIND15-S7-140.pdf","다운로드")</f>
        <v>다운로드</v>
      </c>
      <c r="W42" t="str">
        <f>HYPERLINK("http://www.lghausys.co.kr/popup/rn/download/downloadPopup.jsp?from=plwindow&amp;uu=/upload/window/DOCUMENT/WIND10-S7-140.pdf","다운로드")</f>
        <v>다운로드</v>
      </c>
      <c r="X42" t="str">
        <f>HYPERLINK("http://www.lghausys.co.kr/popup/rn/download/downloadPopup.jsp?from=plwindow&amp;uu=/upload/window/DOCUMENT/WIND05-S7-140.pdf","다운로드")</f>
        <v>다운로드</v>
      </c>
    </row>
    <row r="43" spans="1:24">
      <c r="A43" t="s">
        <v>362</v>
      </c>
      <c r="B43" t="s">
        <v>175</v>
      </c>
      <c r="C43" t="s">
        <v>358</v>
      </c>
      <c r="D43" t="s">
        <v>334</v>
      </c>
      <c r="E43" t="s">
        <v>330</v>
      </c>
      <c r="F43" t="s">
        <v>330</v>
      </c>
      <c r="G43" s="5" t="s">
        <v>317</v>
      </c>
      <c r="H43" s="5" t="str">
        <f>HYPERLINK("http://www.lghausys.co.kr/popup/rn/download/downloadPopup.jsp?from=plwindow&amp;uu=/upload/window/DOCUMENT/SECTION-S5-295.dwg","다운로드")</f>
        <v>다운로드</v>
      </c>
      <c r="I43" s="5" t="str">
        <f>HYPERLINK("http://www.lghausys.co.kr/popup/rn/download/downloadPopup.jsp?from=plwindow&amp;uu=/upload/window/DOCUMENT/FRONT-S5-295.dwg","다운로드")</f>
        <v>다운로드</v>
      </c>
      <c r="J43" s="5" t="str">
        <f>HYPERLINK("http://www.lghausys.co.kr/popup/rn/download/downloadPopup.jsp?from=plwindow&amp;uu=/upload/window/DOCUMENT/INSTALL-S5-295.dwg","다운로드")</f>
        <v>다운로드</v>
      </c>
      <c r="K43" s="5" t="str">
        <f>HYPERLINK("http://www.lghausys.co.kr/popup/rn/download/downloadPopup.jsp?from=plwindow&amp;uu=/upload/window/DOCUMENT/SECTION-S5-295.pdf","다운로드")</f>
        <v>다운로드</v>
      </c>
      <c r="L43" s="5" t="str">
        <f>HYPERLINK("http://www.lghausys.co.kr/popup/rn/download/downloadPopup.jsp?from=plwindow&amp;uu=/upload/window/DOCUMENT/FRONT-S5-295.pdf","다운로드")</f>
        <v>다운로드</v>
      </c>
      <c r="M43" s="5" t="str">
        <f>HYPERLINK("http://www.lghausys.co.kr/popup/rn/download/downloadPopup.jsp?from=plwindow&amp;uu=/upload/window/DOCUMENT/INSTALL-S5-295.pdf","다운로드")</f>
        <v>다운로드</v>
      </c>
      <c r="N43" s="5" t="str">
        <f>HYPERLINK("http://www.lghausys.co.kr/popup/rn/download/downloadPopup.jsp?from=plwindow&amp;uu=/upload/window/INFO/INTRO-SUPERSave5.pdf","다운로드")</f>
        <v>다운로드</v>
      </c>
      <c r="O43" s="5" t="str">
        <f>HYPERLINK("http://www.lghausys.co.kr/popup/rn/download/downloadPopup.jsp?from=plwindow&amp;uu=/upload/window/INFO/INTRO(B2B)-SUPERSave5.pdf","다운로드")</f>
        <v>다운로드</v>
      </c>
      <c r="P43" s="5" t="str">
        <f>HYPERLINK("http://www.lghausys.co.kr/popup/rn/download/downloadPopup.jsp?from=plwindow&amp;uu=/upload/window/INFO/REFLET-SUPERSave5.pdf","다운로드")</f>
        <v>다운로드</v>
      </c>
      <c r="Q43" s="5" t="str">
        <f>HYPERLINK("http://www.lghausys.co.kr/popup/rn/download/downloadPopup.jsp?from=plwindow&amp;uu=/upload/window/INFO/REF-SUPERSave5.pdf","다운로드")</f>
        <v>다운로드</v>
      </c>
      <c r="R43" s="5" t="str">
        <f>HYPERLINK("http://www.lghausys.co.kr/popup/rn/download/downloadPopup.jsp?from=plwindow&amp;uu=/upload/window/DOCUMENT/GUIDE-S5-295.hwp","다운로드")</f>
        <v>다운로드</v>
      </c>
      <c r="S43" s="5" t="s">
        <v>19</v>
      </c>
      <c r="T43" t="str">
        <f>HYPERLINK("http://www.lghausys.co.kr/popup/rn/download/downloadPopup.jsp?from=plwindow&amp;uu=/upload/window/DOCUMENT/WINDMAX-S5-295.pdf","다운로드")</f>
        <v>다운로드</v>
      </c>
      <c r="U43" t="str">
        <f>HYPERLINK("http://www.lghausys.co.kr/popup/rn/download/downloadPopup.jsp?from=plwindow&amp;uu=/upload/window/DOCUMENT/WIND20-S5-295.pdf","다운로드")</f>
        <v>다운로드</v>
      </c>
      <c r="V43" t="str">
        <f>HYPERLINK("http://www.lghausys.co.kr/popup/rn/download/downloadPopup.jsp?from=plwindow&amp;uu=/upload/window/DOCUMENT/WIND15-S5-295.pdf","다운로드")</f>
        <v>다운로드</v>
      </c>
      <c r="W43" t="str">
        <f>HYPERLINK("http://www.lghausys.co.kr/popup/rn/download/downloadPopup.jsp?from=plwindow&amp;uu=/upload/window/DOCUMENT/WIND10-S5-295.pdf","다운로드")</f>
        <v>다운로드</v>
      </c>
      <c r="X43" t="str">
        <f>HYPERLINK("http://www.lghausys.co.kr/popup/rn/download/downloadPopup.jsp?from=plwindow&amp;uu=/upload/window/DOCUMENT/WIND05-S5-295.pdf","다운로드")</f>
        <v>다운로드</v>
      </c>
    </row>
    <row r="44" spans="1:24">
      <c r="A44" t="s">
        <v>363</v>
      </c>
      <c r="B44" t="s">
        <v>52</v>
      </c>
      <c r="C44" t="s">
        <v>358</v>
      </c>
      <c r="D44" t="s">
        <v>334</v>
      </c>
      <c r="E44" t="s">
        <v>330</v>
      </c>
      <c r="F44" t="s">
        <v>330</v>
      </c>
      <c r="G44" s="5" t="s">
        <v>317</v>
      </c>
      <c r="H44" s="5" t="str">
        <f>HYPERLINK("http://www.lghausys.co.kr/popup/rn/download/downloadPopup.jsp?from=plwindow&amp;uu=/upload/window/DOCUMENT/SECTION-S5-250.dwg","다운로드")</f>
        <v>다운로드</v>
      </c>
      <c r="I44" s="5" t="str">
        <f>HYPERLINK("http://www.lghausys.co.kr/popup/rn/download/downloadPopup.jsp?from=plwindow&amp;uu=/upload/window/DOCUMENT/FRONT-S5-250.dwg","다운로드")</f>
        <v>다운로드</v>
      </c>
      <c r="J44" s="5" t="str">
        <f>HYPERLINK("http://www.lghausys.co.kr/popup/rn/download/downloadPopup.jsp?from=plwindow&amp;uu=/upload/window/DOCUMENT/INSTALL-S5-250.dwg","다운로드")</f>
        <v>다운로드</v>
      </c>
      <c r="K44" s="5" t="str">
        <f>HYPERLINK("http://www.lghausys.co.kr/popup/rn/download/downloadPopup.jsp?from=plwindow&amp;uu=/upload/window/DOCUMENT/SECTION-S5-250.pdf","다운로드")</f>
        <v>다운로드</v>
      </c>
      <c r="L44" s="5" t="str">
        <f>HYPERLINK("http://www.lghausys.co.kr/popup/rn/download/downloadPopup.jsp?from=plwindow&amp;uu=/upload/window/DOCUMENT/FRONT-S5-250.pdf","다운로드")</f>
        <v>다운로드</v>
      </c>
      <c r="M44" s="5" t="str">
        <f>HYPERLINK("http://www.lghausys.co.kr/popup/rn/download/downloadPopup.jsp?from=plwindow&amp;uu=/upload/window/DOCUMENT/INSTALL-S5-250.pdf","다운로드")</f>
        <v>다운로드</v>
      </c>
      <c r="N44" s="5" t="str">
        <f>HYPERLINK("http://www.lghausys.co.kr/popup/rn/download/downloadPopup.jsp?from=plwindow&amp;uu=/upload/window/INFO/INTRO-SUPERSave5.pdf","다운로드")</f>
        <v>다운로드</v>
      </c>
      <c r="O44" s="5" t="str">
        <f>HYPERLINK("http://www.lghausys.co.kr/popup/rn/download/downloadPopup.jsp?from=plwindow&amp;uu=/upload/window/INFO/INTRO(B2B)-SUPERSave5.pdf","다운로드")</f>
        <v>다운로드</v>
      </c>
      <c r="P44" s="5" t="str">
        <f>HYPERLINK("http://www.lghausys.co.kr/popup/rn/download/downloadPopup.jsp?from=plwindow&amp;uu=/upload/window/INFO/REFLET-SUPERSave5.pdf","다운로드")</f>
        <v>다운로드</v>
      </c>
      <c r="Q44" s="5" t="str">
        <f>HYPERLINK("http://www.lghausys.co.kr/popup/rn/download/downloadPopup.jsp?from=plwindow&amp;uu=/upload/window/INFO/REF-SUPERSave5.pdf","다운로드")</f>
        <v>다운로드</v>
      </c>
      <c r="R44" s="5" t="str">
        <f>HYPERLINK("http://www.lghausys.co.kr/popup/rn/download/downloadPopup.jsp?from=plwindow&amp;uu=/upload/window/DOCUMENT/GUIDE-S5-250.hwp","다운로드")</f>
        <v>다운로드</v>
      </c>
      <c r="S44" s="5" t="s">
        <v>19</v>
      </c>
      <c r="T44" t="str">
        <f>HYPERLINK("http://www.lghausys.co.kr/popup/rn/download/downloadPopup.jsp?from=plwindow&amp;uu=/upload/window/DOCUMENT/WINDMAX-S5-250.pdf","다운로드")</f>
        <v>다운로드</v>
      </c>
      <c r="U44" t="str">
        <f>HYPERLINK("http://www.lghausys.co.kr/popup/rn/download/downloadPopup.jsp?from=plwindow&amp;uu=/upload/window/DOCUMENT/WIND20-S5-250.pdf","다운로드")</f>
        <v>다운로드</v>
      </c>
      <c r="V44" t="str">
        <f>HYPERLINK("http://www.lghausys.co.kr/popup/rn/download/downloadPopup.jsp?from=plwindow&amp;uu=/upload/window/DOCUMENT/WIND15-S5-250.pdf","다운로드")</f>
        <v>다운로드</v>
      </c>
      <c r="W44" t="str">
        <f>HYPERLINK("http://www.lghausys.co.kr/popup/rn/download/downloadPopup.jsp?from=plwindow&amp;uu=/upload/window/DOCUMENT/WIND10-S5-250.pdf","다운로드")</f>
        <v>다운로드</v>
      </c>
      <c r="X44" t="str">
        <f>HYPERLINK("http://www.lghausys.co.kr/popup/rn/download/downloadPopup.jsp?from=plwindow&amp;uu=/upload/window/DOCUMENT/WIND05-S5-250.pdf","다운로드")</f>
        <v>다운로드</v>
      </c>
    </row>
    <row r="45" spans="1:24">
      <c r="A45" t="s">
        <v>364</v>
      </c>
      <c r="B45" t="s">
        <v>125</v>
      </c>
      <c r="C45" t="s">
        <v>358</v>
      </c>
      <c r="D45" t="s">
        <v>334</v>
      </c>
      <c r="E45" t="s">
        <v>330</v>
      </c>
      <c r="F45" t="s">
        <v>19</v>
      </c>
      <c r="G45" s="5" t="s">
        <v>317</v>
      </c>
      <c r="H45" s="5" t="str">
        <f>HYPERLINK("http://www.lghausys.co.kr/popup/rn/download/downloadPopup.jsp?from=plwindow&amp;uu=/upload/window/DOCUMENT/SECTION-S5-140.dwg","다운로드")</f>
        <v>다운로드</v>
      </c>
      <c r="I45" s="5" t="str">
        <f>HYPERLINK("http://www.lghausys.co.kr/popup/rn/download/downloadPopup.jsp?from=plwindow&amp;uu=/upload/window/DOCUMENT/FRONT-S5-140.dwg","다운로드")</f>
        <v>다운로드</v>
      </c>
      <c r="J45" s="5" t="str">
        <f>HYPERLINK("http://www.lghausys.co.kr/popup/rn/download/downloadPopup.jsp?from=plwindow&amp;uu=/upload/window/DOCUMENT/INSTALL-S5-140.dwg","다운로드")</f>
        <v>다운로드</v>
      </c>
      <c r="K45" s="5" t="str">
        <f>HYPERLINK("http://www.lghausys.co.kr/popup/rn/download/downloadPopup.jsp?from=plwindow&amp;uu=/upload/window/DOCUMENT/SECTION-S5-140.pdf","다운로드")</f>
        <v>다운로드</v>
      </c>
      <c r="L45" s="5" t="str">
        <f>HYPERLINK("http://www.lghausys.co.kr/popup/rn/download/downloadPopup.jsp?from=plwindow&amp;uu=/upload/window/DOCUMENT/FRONT-S5-140.pdf","다운로드")</f>
        <v>다운로드</v>
      </c>
      <c r="M45" s="5" t="str">
        <f>HYPERLINK("http://www.lghausys.co.kr/popup/rn/download/downloadPopup.jsp?from=plwindow&amp;uu=/upload/window/DOCUMENT/INSTALL-S5-140.pdf","다운로드")</f>
        <v>다운로드</v>
      </c>
      <c r="N45" s="5" t="str">
        <f>HYPERLINK("http://www.lghausys.co.kr/popup/rn/download/downloadPopup.jsp?from=plwindow&amp;uu=/upload/window/INFO/INTRO-SUPERSave5.pdf","다운로드")</f>
        <v>다운로드</v>
      </c>
      <c r="O45" s="5" t="str">
        <f>HYPERLINK("http://www.lghausys.co.kr/popup/rn/download/downloadPopup.jsp?from=plwindow&amp;uu=/upload/window/INFO/INTRO(B2B)-SUPERSave5.pdf","다운로드")</f>
        <v>다운로드</v>
      </c>
      <c r="P45" s="5" t="str">
        <f>HYPERLINK("http://www.lghausys.co.kr/popup/rn/download/downloadPopup.jsp?from=plwindow&amp;uu=/upload/window/INFO/REFLET-SUPERSave5.pdf","다운로드")</f>
        <v>다운로드</v>
      </c>
      <c r="Q45" s="5" t="str">
        <f>HYPERLINK("http://www.lghausys.co.kr/popup/rn/download/downloadPopup.jsp?from=plwindow&amp;uu=/upload/window/INFO/REF-SUPERSave5.pdf","다운로드")</f>
        <v>다운로드</v>
      </c>
      <c r="R45" s="5" t="str">
        <f>HYPERLINK("http://www.lghausys.co.kr/popup/rn/download/downloadPopup.jsp?from=plwindow&amp;uu=/upload/window/DOCUMENT/GUIDE-S5-140.hwp","다운로드")</f>
        <v>다운로드</v>
      </c>
      <c r="S45" s="5" t="s">
        <v>19</v>
      </c>
      <c r="T45" t="str">
        <f>HYPERLINK("http://www.lghausys.co.kr/popup/rn/download/downloadPopup.jsp?from=plwindow&amp;uu=/upload/window/DOCUMENT/WINDMAX-S5-140.pdf","다운로드")</f>
        <v>다운로드</v>
      </c>
      <c r="U45" t="str">
        <f>HYPERLINK("http://www.lghausys.co.kr/popup/rn/download/downloadPopup.jsp?from=plwindow&amp;uu=/upload/window/DOCUMENT/WIND20-S5-140.pdf","다운로드")</f>
        <v>다운로드</v>
      </c>
      <c r="V45" t="str">
        <f>HYPERLINK("http://www.lghausys.co.kr/popup/rn/download/downloadPopup.jsp?from=plwindow&amp;uu=/upload/window/DOCUMENT/WIND15-S5-140.pdf","다운로드")</f>
        <v>다운로드</v>
      </c>
      <c r="W45" t="str">
        <f>HYPERLINK("http://www.lghausys.co.kr/popup/rn/download/downloadPopup.jsp?from=plwindow&amp;uu=/upload/window/DOCUMENT/WIND10-S5-140.pdf","다운로드")</f>
        <v>다운로드</v>
      </c>
      <c r="X45" t="str">
        <f>HYPERLINK("http://www.lghausys.co.kr/popup/rn/download/downloadPopup.jsp?from=plwindow&amp;uu=/upload/window/DOCUMENT/WIND05-S5-140.pdf","다운로드")</f>
        <v>다운로드</v>
      </c>
    </row>
    <row r="46" spans="1:24">
      <c r="A46" t="s">
        <v>365</v>
      </c>
      <c r="B46" t="s">
        <v>73</v>
      </c>
      <c r="C46" t="s">
        <v>358</v>
      </c>
      <c r="D46" t="s">
        <v>334</v>
      </c>
      <c r="E46" t="s">
        <v>330</v>
      </c>
      <c r="F46" t="s">
        <v>330</v>
      </c>
      <c r="G46" s="5" t="s">
        <v>315</v>
      </c>
      <c r="H46" s="5" t="str">
        <f>HYPERLINK("http://www.lghausys.co.kr/popup/rn/download/downloadPopup.jsp?from=plwindow&amp;uu=/upload/window/DOCUMENT/SECTION-S3-250.dwg","다운로드")</f>
        <v>다운로드</v>
      </c>
      <c r="I46" s="5" t="str">
        <f>HYPERLINK("http://www.lghausys.co.kr/popup/rn/download/downloadPopup.jsp?from=plwindow&amp;uu=/upload/window/DOCUMENT/FRONT-S3-250.dwg","다운로드")</f>
        <v>다운로드</v>
      </c>
      <c r="J46" s="5" t="s">
        <v>19</v>
      </c>
      <c r="K46" s="5" t="str">
        <f>HYPERLINK("http://www.lghausys.co.kr/popup/rn/download/downloadPopup.jsp?from=plwindow&amp;uu=/upload/window/DOCUMENT/SECTION-S3-250.pdf","다운로드")</f>
        <v>다운로드</v>
      </c>
      <c r="L46" s="5" t="str">
        <f>HYPERLINK("http://www.lghausys.co.kr/popup/rn/download/downloadPopup.jsp?from=plwindow&amp;uu=/upload/window/DOCUMENT/FRONT-S3-250.pdf","다운로드")</f>
        <v>다운로드</v>
      </c>
      <c r="M46" s="5" t="s">
        <v>19</v>
      </c>
      <c r="N46" s="5" t="str">
        <f>HYPERLINK("http://www.lghausys.co.kr/popup/rn/download/downloadPopup.jsp?from=plwindow&amp;uu=/upload/window/INFO/INTRO-SUPERSave3.pdf","다운로드")</f>
        <v>다운로드</v>
      </c>
      <c r="O46" s="5" t="s">
        <v>19</v>
      </c>
      <c r="P46" s="5" t="str">
        <f>HYPERLINK("http://www.lghausys.co.kr/popup/rn/download/downloadPopup.jsp?from=plwindow&amp;uu=/upload/window/INFO/REFLET-SUPERSave3.pdf","다운로드")</f>
        <v>다운로드</v>
      </c>
      <c r="Q46" s="5" t="str">
        <f>HYPERLINK("http://www.lghausys.co.kr/popup/rn/download/downloadPopup.jsp?from=plwindow&amp;uu=/upload/window/INFO/REF-SUPERSave3.pdf","다운로드")</f>
        <v>다운로드</v>
      </c>
      <c r="R46" s="5" t="str">
        <f>HYPERLINK("http://www.lghausys.co.kr/popup/rn/download/downloadPopup.jsp?from=plwindow&amp;uu=/upload/window/DOCUMENT/GUIDE-S3-250.hwp","다운로드")</f>
        <v>다운로드</v>
      </c>
      <c r="S46" s="5" t="s">
        <v>19</v>
      </c>
      <c r="T46" t="str">
        <f>HYPERLINK("http://www.lghausys.co.kr/popup/rn/download/downloadPopup.jsp?from=plwindow&amp;uu=/upload/window/DOCUMENT/WINDMAX-S3-250.pdf","다운로드")</f>
        <v>다운로드</v>
      </c>
      <c r="U46" t="str">
        <f>HYPERLINK("http://www.lghausys.co.kr/popup/rn/download/downloadPopup.jsp?from=plwindow&amp;uu=/upload/window/DOCUMENT/WIND20-S3-250.pdf","다운로드")</f>
        <v>다운로드</v>
      </c>
      <c r="V46" t="str">
        <f>HYPERLINK("http://www.lghausys.co.kr/popup/rn/download/downloadPopup.jsp?from=plwindow&amp;uu=/upload/window/DOCUMENT/WIND15-S3-250.pdf","다운로드")</f>
        <v>다운로드</v>
      </c>
      <c r="W46" t="str">
        <f>HYPERLINK("http://www.lghausys.co.kr/popup/rn/download/downloadPopup.jsp?from=plwindow&amp;uu=/upload/window/DOCUMENT/WIND10-S3-250.pdf","다운로드")</f>
        <v>다운로드</v>
      </c>
      <c r="X46" t="str">
        <f>HYPERLINK("http://www.lghausys.co.kr/popup/rn/download/downloadPopup.jsp?from=plwindow&amp;uu=/upload/window/DOCUMENT/WIND05-S3-250.pdf","다운로드")</f>
        <v>다운로드</v>
      </c>
    </row>
    <row r="47" spans="1:24">
      <c r="A47" t="s">
        <v>365</v>
      </c>
      <c r="B47" t="s">
        <v>62</v>
      </c>
      <c r="C47" t="s">
        <v>358</v>
      </c>
      <c r="D47" t="s">
        <v>334</v>
      </c>
      <c r="E47" t="s">
        <v>330</v>
      </c>
      <c r="F47" t="s">
        <v>330</v>
      </c>
      <c r="G47" s="5" t="s">
        <v>317</v>
      </c>
      <c r="H47" s="5" t="str">
        <f>HYPERLINK("http://www.lghausys.co.kr/popup/rn/download/downloadPopup.jsp?from=plwindow&amp;uu=/upload/window/DOCUMENT/SECTION-S3-235.dwg","다운로드")</f>
        <v>다운로드</v>
      </c>
      <c r="I47" s="5" t="str">
        <f>HYPERLINK("http://www.lghausys.co.kr/popup/rn/download/downloadPopup.jsp?from=plwindow&amp;uu=/upload/window/DOCUMENT/FRONT-S3-235.dwg","다운로드")</f>
        <v>다운로드</v>
      </c>
      <c r="J47" s="5" t="str">
        <f>HYPERLINK("http://www.lghausys.co.kr/popup/rn/download/downloadPopup.jsp?from=plwindow&amp;uu=/upload/window/DOCUMENT/INSTALL-S3-235.dwg","다운로드")</f>
        <v>다운로드</v>
      </c>
      <c r="K47" s="5" t="str">
        <f>HYPERLINK("http://www.lghausys.co.kr/popup/rn/download/downloadPopup.jsp?from=plwindow&amp;uu=/upload/window/DOCUMENT/SECTION-S3-235.pdf","다운로드")</f>
        <v>다운로드</v>
      </c>
      <c r="L47" s="5" t="str">
        <f>HYPERLINK("http://www.lghausys.co.kr/popup/rn/download/downloadPopup.jsp?from=plwindow&amp;uu=/upload/window/DOCUMENT/FRONT-S3-235.pdf","다운로드")</f>
        <v>다운로드</v>
      </c>
      <c r="M47" s="5" t="str">
        <f>HYPERLINK("http://www.lghausys.co.kr/popup/rn/download/downloadPopup.jsp?from=plwindow&amp;uu=/upload/window/DOCUMENT/INSTALL-S3-235.pdf","다운로드")</f>
        <v>다운로드</v>
      </c>
      <c r="N47" s="5" t="str">
        <f>HYPERLINK("http://www.lghausys.co.kr/popup/rn/download/downloadPopup.jsp?from=plwindow&amp;uu=/upload/window/INFO/INTRO-SUPERSave3.pdf","다운로드")</f>
        <v>다운로드</v>
      </c>
      <c r="O47" s="5" t="str">
        <f>HYPERLINK("http://www.lghausys.co.kr/popup/rn/download/downloadPopup.jsp?from=plwindow&amp;uu=/upload/window/INFO/INTRO(B2B)-SUPERSave3.pdf","다운로드")</f>
        <v>다운로드</v>
      </c>
      <c r="P47" s="5" t="str">
        <f>HYPERLINK("http://www.lghausys.co.kr/popup/rn/download/downloadPopup.jsp?from=plwindow&amp;uu=/upload/window/INFO/REFLET-SUPERSave3.pdf","다운로드")</f>
        <v>다운로드</v>
      </c>
      <c r="Q47" s="5" t="str">
        <f>HYPERLINK("http://www.lghausys.co.kr/popup/rn/download/downloadPopup.jsp?from=plwindow&amp;uu=/upload/window/INFO/REF-SUPERSave3.pdf","다운로드")</f>
        <v>다운로드</v>
      </c>
      <c r="R47" s="5" t="str">
        <f>HYPERLINK("http://www.lghausys.co.kr/popup/rn/download/downloadPopup.jsp?from=plwindow&amp;uu=/upload/window/DOCUMENT/GUIDE-S3-235.hwp","다운로드")</f>
        <v>다운로드</v>
      </c>
      <c r="S47" s="5" t="s">
        <v>19</v>
      </c>
      <c r="T47" t="str">
        <f>HYPERLINK("http://www.lghausys.co.kr/popup/rn/download/downloadPopup.jsp?from=plwindow&amp;uu=/upload/window/DOCUMENT/WINDMAX-S3-235.pdf","다운로드")</f>
        <v>다운로드</v>
      </c>
      <c r="U47" t="str">
        <f>HYPERLINK("http://www.lghausys.co.kr/popup/rn/download/downloadPopup.jsp?from=plwindow&amp;uu=/upload/window/DOCUMENT/WIND20-S3-235.pdf","다운로드")</f>
        <v>다운로드</v>
      </c>
      <c r="V47" t="str">
        <f>HYPERLINK("http://www.lghausys.co.kr/popup/rn/download/downloadPopup.jsp?from=plwindow&amp;uu=/upload/window/DOCUMENT/WIND15-S3-235.pdf","다운로드")</f>
        <v>다운로드</v>
      </c>
      <c r="W47" t="str">
        <f>HYPERLINK("http://www.lghausys.co.kr/popup/rn/download/downloadPopup.jsp?from=plwindow&amp;uu=/upload/window/DOCUMENT/WIND10-S3-235.pdf","다운로드")</f>
        <v>다운로드</v>
      </c>
      <c r="X47" t="str">
        <f>HYPERLINK("http://www.lghausys.co.kr/popup/rn/download/downloadPopup.jsp?from=plwindow&amp;uu=/upload/window/DOCUMENT/WIND05-S3-235.pdf","다운로드")</f>
        <v>다운로드</v>
      </c>
    </row>
    <row r="48" spans="1:24">
      <c r="A48" t="s">
        <v>366</v>
      </c>
      <c r="B48" t="s">
        <v>61</v>
      </c>
      <c r="C48" t="s">
        <v>358</v>
      </c>
      <c r="D48" t="s">
        <v>334</v>
      </c>
      <c r="E48" t="s">
        <v>330</v>
      </c>
      <c r="F48" t="s">
        <v>19</v>
      </c>
      <c r="G48" s="5" t="s">
        <v>317</v>
      </c>
      <c r="H48" s="5" t="str">
        <f>HYPERLINK("http://www.lghausys.co.kr/popup/rn/download/downloadPopup.jsp?from=plwindow&amp;uu=/upload/window/DOCUMENT/SECTION-S3-125.dwg","다운로드")</f>
        <v>다운로드</v>
      </c>
      <c r="I48" s="5" t="str">
        <f>HYPERLINK("http://www.lghausys.co.kr/popup/rn/download/downloadPopup.jsp?from=plwindow&amp;uu=/upload/window/DOCUMENT/FRONT-S3-125.dwg","다운로드")</f>
        <v>다운로드</v>
      </c>
      <c r="J48" s="5" t="str">
        <f>HYPERLINK("http://www.lghausys.co.kr/popup/rn/download/downloadPopup.jsp?from=plwindow&amp;uu=/upload/window/DOCUMENT/INSTALL-S3-125.dwg","다운로드")</f>
        <v>다운로드</v>
      </c>
      <c r="K48" s="5" t="str">
        <f>HYPERLINK("http://www.lghausys.co.kr/popup/rn/download/downloadPopup.jsp?from=plwindow&amp;uu=/upload/window/DOCUMENT/SECTION-S3-125.pdf","다운로드")</f>
        <v>다운로드</v>
      </c>
      <c r="L48" s="5" t="str">
        <f>HYPERLINK("http://www.lghausys.co.kr/popup/rn/download/downloadPopup.jsp?from=plwindow&amp;uu=/upload/window/DOCUMENT/FRONT-S3-125.pdf","다운로드")</f>
        <v>다운로드</v>
      </c>
      <c r="M48" s="5" t="str">
        <f>HYPERLINK("http://www.lghausys.co.kr/popup/rn/download/downloadPopup.jsp?from=plwindow&amp;uu=/upload/window/DOCUMENT/INSTALL-S3-125.pdf","다운로드")</f>
        <v>다운로드</v>
      </c>
      <c r="N48" s="5" t="str">
        <f>HYPERLINK("http://www.lghausys.co.kr/popup/rn/download/downloadPopup.jsp?from=plwindow&amp;uu=/upload/window/INFO/INTRO-SUPERSave3.pdf","다운로드")</f>
        <v>다운로드</v>
      </c>
      <c r="O48" s="5" t="str">
        <f>HYPERLINK("http://www.lghausys.co.kr/popup/rn/download/downloadPopup.jsp?from=plwindow&amp;uu=/upload/window/INFO/INTRO(B2B)-SUPERSave3.pdf","다운로드")</f>
        <v>다운로드</v>
      </c>
      <c r="P48" s="5" t="str">
        <f>HYPERLINK("http://www.lghausys.co.kr/popup/rn/download/downloadPopup.jsp?from=plwindow&amp;uu=/upload/window/INFO/REFLET-SUPERSave3.pdf","다운로드")</f>
        <v>다운로드</v>
      </c>
      <c r="Q48" s="5" t="str">
        <f>HYPERLINK("http://www.lghausys.co.kr/popup/rn/download/downloadPopup.jsp?from=plwindow&amp;uu=/upload/window/INFO/REF-SUPERSave3.pdf","다운로드")</f>
        <v>다운로드</v>
      </c>
      <c r="R48" s="5" t="str">
        <f>HYPERLINK("http://www.lghausys.co.kr/popup/rn/download/downloadPopup.jsp?from=plwindow&amp;uu=/upload/window/DOCUMENT/GUIDE-S3-125.hwp","다운로드")</f>
        <v>다운로드</v>
      </c>
      <c r="S48" s="5" t="s">
        <v>19</v>
      </c>
      <c r="T48" t="str">
        <f>HYPERLINK("http://www.lghausys.co.kr/popup/rn/download/downloadPopup.jsp?from=plwindow&amp;uu=/upload/window/DOCUMENT/WINDMAX-S3-125.pdf","다운로드")</f>
        <v>다운로드</v>
      </c>
      <c r="U48" t="str">
        <f>HYPERLINK("http://www.lghausys.co.kr/popup/rn/download/downloadPopup.jsp?from=plwindow&amp;uu=/upload/window/DOCUMENT/WIND20-S3-125.pdf","다운로드")</f>
        <v>다운로드</v>
      </c>
      <c r="V48" t="str">
        <f>HYPERLINK("http://www.lghausys.co.kr/popup/rn/download/downloadPopup.jsp?from=plwindow&amp;uu=/upload/window/DOCUMENT/WIND15-S3-125.pdf","다운로드")</f>
        <v>다운로드</v>
      </c>
      <c r="W48" t="str">
        <f>HYPERLINK("http://www.lghausys.co.kr/popup/rn/download/downloadPopup.jsp?from=plwindow&amp;uu=/upload/window/DOCUMENT/WIND10-S3-125.pdf","다운로드")</f>
        <v>다운로드</v>
      </c>
      <c r="X48" t="str">
        <f>HYPERLINK("http://www.lghausys.co.kr/popup/rn/download/downloadPopup.jsp?from=plwindow&amp;uu=/upload/window/DOCUMENT/WIND05-S3-125.pdf","다운로드")</f>
        <v>다운로드</v>
      </c>
    </row>
    <row r="49" spans="1:24">
      <c r="A49" t="s">
        <v>367</v>
      </c>
      <c r="B49" t="s">
        <v>174</v>
      </c>
      <c r="C49" t="s">
        <v>358</v>
      </c>
      <c r="D49" t="s">
        <v>334</v>
      </c>
      <c r="E49" t="s">
        <v>330</v>
      </c>
      <c r="F49" t="s">
        <v>330</v>
      </c>
      <c r="G49" s="5" t="s">
        <v>315</v>
      </c>
      <c r="H49" s="5" t="s">
        <v>19</v>
      </c>
      <c r="I49" s="5" t="s">
        <v>19</v>
      </c>
      <c r="J49" s="5" t="s">
        <v>19</v>
      </c>
      <c r="K49" s="5" t="s">
        <v>19</v>
      </c>
      <c r="L49" s="5" t="s">
        <v>19</v>
      </c>
      <c r="M49" s="5" t="s">
        <v>19</v>
      </c>
      <c r="N49" s="5" t="s">
        <v>19</v>
      </c>
      <c r="O49" s="5" t="s">
        <v>19</v>
      </c>
      <c r="P49" s="5" t="s">
        <v>19</v>
      </c>
      <c r="Q49" s="5" t="s">
        <v>19</v>
      </c>
      <c r="R49" s="5" t="s">
        <v>19</v>
      </c>
      <c r="S49" s="5" t="s">
        <v>19</v>
      </c>
      <c r="T49" t="s">
        <v>19</v>
      </c>
      <c r="U49" t="s">
        <v>19</v>
      </c>
      <c r="V49" t="s">
        <v>19</v>
      </c>
      <c r="W49" t="s">
        <v>19</v>
      </c>
      <c r="X49" t="s">
        <v>19</v>
      </c>
    </row>
    <row r="50" spans="1:24">
      <c r="A50" t="s">
        <v>367</v>
      </c>
      <c r="B50" t="s">
        <v>173</v>
      </c>
      <c r="C50" t="s">
        <v>358</v>
      </c>
      <c r="D50" t="s">
        <v>334</v>
      </c>
      <c r="E50" t="s">
        <v>330</v>
      </c>
      <c r="F50" t="s">
        <v>330</v>
      </c>
      <c r="G50" s="5" t="s">
        <v>315</v>
      </c>
      <c r="H50" s="5" t="s">
        <v>19</v>
      </c>
      <c r="I50" s="5" t="s">
        <v>19</v>
      </c>
      <c r="J50" s="5" t="s">
        <v>19</v>
      </c>
      <c r="K50" s="5" t="s">
        <v>19</v>
      </c>
      <c r="L50" s="5" t="s">
        <v>19</v>
      </c>
      <c r="M50" s="5" t="s">
        <v>19</v>
      </c>
      <c r="N50" s="5" t="s">
        <v>19</v>
      </c>
      <c r="O50" s="5" t="s">
        <v>19</v>
      </c>
      <c r="P50" s="5" t="s">
        <v>19</v>
      </c>
      <c r="Q50" s="5" t="s">
        <v>19</v>
      </c>
      <c r="R50" s="5" t="s">
        <v>19</v>
      </c>
      <c r="S50" s="5" t="s">
        <v>19</v>
      </c>
      <c r="T50" t="s">
        <v>19</v>
      </c>
      <c r="U50" t="s">
        <v>19</v>
      </c>
      <c r="V50" t="s">
        <v>19</v>
      </c>
      <c r="W50" t="s">
        <v>19</v>
      </c>
      <c r="X50" t="s">
        <v>19</v>
      </c>
    </row>
    <row r="51" spans="1:24">
      <c r="A51" t="s">
        <v>368</v>
      </c>
      <c r="B51" t="s">
        <v>172</v>
      </c>
      <c r="C51" t="s">
        <v>358</v>
      </c>
      <c r="D51" t="s">
        <v>334</v>
      </c>
      <c r="E51" t="s">
        <v>330</v>
      </c>
      <c r="F51" t="s">
        <v>19</v>
      </c>
      <c r="G51" s="5" t="s">
        <v>315</v>
      </c>
      <c r="H51" s="5" t="s">
        <v>19</v>
      </c>
      <c r="I51" s="5" t="s">
        <v>19</v>
      </c>
      <c r="J51" s="5" t="s">
        <v>19</v>
      </c>
      <c r="K51" s="5" t="s">
        <v>19</v>
      </c>
      <c r="L51" s="5" t="s">
        <v>19</v>
      </c>
      <c r="M51" s="5" t="s">
        <v>19</v>
      </c>
      <c r="N51" s="5" t="s">
        <v>19</v>
      </c>
      <c r="O51" s="5" t="s">
        <v>19</v>
      </c>
      <c r="P51" s="5" t="s">
        <v>19</v>
      </c>
      <c r="Q51" s="5" t="s">
        <v>19</v>
      </c>
      <c r="R51" s="5" t="s">
        <v>19</v>
      </c>
      <c r="S51" s="5" t="s">
        <v>19</v>
      </c>
      <c r="T51" t="s">
        <v>19</v>
      </c>
      <c r="U51" t="s">
        <v>19</v>
      </c>
      <c r="V51" t="s">
        <v>19</v>
      </c>
      <c r="W51" t="s">
        <v>19</v>
      </c>
      <c r="X51" t="s">
        <v>19</v>
      </c>
    </row>
    <row r="52" spans="1:24">
      <c r="A52" t="s">
        <v>369</v>
      </c>
      <c r="B52" t="s">
        <v>92</v>
      </c>
      <c r="C52" t="s">
        <v>358</v>
      </c>
      <c r="D52" t="s">
        <v>334</v>
      </c>
      <c r="E52" t="s">
        <v>330</v>
      </c>
      <c r="F52" t="s">
        <v>330</v>
      </c>
      <c r="G52" s="5" t="s">
        <v>313</v>
      </c>
      <c r="H52" s="5" t="str">
        <f>HYPERLINK("http://www.lghausys.co.kr/popup/rn/download/downloadPopup.jsp?from=plwindow&amp;uu=/upload/window/DOCUMENT/SECTION-S3-130A.dwg","다운로드")</f>
        <v>다운로드</v>
      </c>
      <c r="I52" s="5" t="str">
        <f>HYPERLINK("http://www.lghausys.co.kr/popup/rn/download/downloadPopup.jsp?from=plwindow&amp;uu=/upload/window/DOCUMENT/FRONT-S3-130A.dwg","다운로드")</f>
        <v>다운로드</v>
      </c>
      <c r="J52" s="5" t="str">
        <f>HYPERLINK("http://www.lghausys.co.kr/popup/rn/download/downloadPopup.jsp?from=plwindow&amp;uu=/upload/window/DOCUMENT/INSTALL-S3-130A.dwg","다운로드")</f>
        <v>다운로드</v>
      </c>
      <c r="K52" s="5" t="str">
        <f>HYPERLINK("http://www.lghausys.co.kr/popup/rn/download/downloadPopup.jsp?from=plwindow&amp;uu=/upload/window/DOCUMENT/SECTION-S3-130A.pdf","다운로드")</f>
        <v>다운로드</v>
      </c>
      <c r="L52" s="5" t="str">
        <f>HYPERLINK("http://www.lghausys.co.kr/popup/rn/download/downloadPopup.jsp?from=plwindow&amp;uu=/upload/window/DOCUMENT/FRONT-S3-130A.pdf","다운로드")</f>
        <v>다운로드</v>
      </c>
      <c r="M52" s="5" t="str">
        <f>HYPERLINK("http://www.lghausys.co.kr/popup/rn/download/downloadPopup.jsp?from=plwindow&amp;uu=/upload/window/DOCUMENT/INSTALL-S3-130A.pdf","다운로드")</f>
        <v>다운로드</v>
      </c>
      <c r="N52" s="5" t="str">
        <f>HYPERLINK("http://www.lghausys.co.kr/popup/rn/download/downloadPopup.jsp?from=plwindow&amp;uu=/upload/window/INFO/INTRO-SUPERSave3.pdf","다운로드")</f>
        <v>다운로드</v>
      </c>
      <c r="O52" s="5" t="s">
        <v>19</v>
      </c>
      <c r="P52" s="5" t="str">
        <f>HYPERLINK("http://www.lghausys.co.kr/popup/rn/download/downloadPopup.jsp?from=plwindow&amp;uu=/upload/window/INFO/REFLET-SUPERSave3.pdf","다운로드")</f>
        <v>다운로드</v>
      </c>
      <c r="Q52" s="5" t="str">
        <f>HYPERLINK("http://www.lghausys.co.kr/popup/rn/download/downloadPopup.jsp?from=plwindow&amp;uu=/upload/window/INFO/REF-SUPERSave3.pdf","다운로드")</f>
        <v>다운로드</v>
      </c>
      <c r="R52" s="5" t="s">
        <v>19</v>
      </c>
      <c r="S52" s="5" t="s">
        <v>19</v>
      </c>
      <c r="T52" t="str">
        <f>HYPERLINK("http://www.lghausys.co.kr/popup/rn/download/downloadPopup.jsp?from=plwindow&amp;uu=/upload/window/DOCUMENT/WINDMAX-S3-130A.pdf","다운로드")</f>
        <v>다운로드</v>
      </c>
      <c r="U52" t="str">
        <f>HYPERLINK("http://www.lghausys.co.kr/popup/rn/download/downloadPopup.jsp?from=plwindow&amp;uu=/upload/window/DOCUMENT/WIND20-S3-130A.pdf","다운로드")</f>
        <v>다운로드</v>
      </c>
      <c r="V52" t="str">
        <f>HYPERLINK("http://www.lghausys.co.kr/popup/rn/download/downloadPopup.jsp?from=plwindow&amp;uu=/upload/window/DOCUMENT/WIND15-S3-130A.pdf","다운로드")</f>
        <v>다운로드</v>
      </c>
      <c r="W52" t="str">
        <f>HYPERLINK("http://www.lghausys.co.kr/popup/rn/download/downloadPopup.jsp?from=plwindow&amp;uu=/upload/window/DOCUMENT/WIND10-S3-130A.pdf","다운로드")</f>
        <v>다운로드</v>
      </c>
      <c r="X52" t="str">
        <f>HYPERLINK("http://www.lghausys.co.kr/popup/rn/download/downloadPopup.jsp?from=plwindow&amp;uu=/upload/window/DOCUMENT/WIND05-S3-130A.pdf","다운로드")</f>
        <v>다운로드</v>
      </c>
    </row>
    <row r="53" spans="1:24">
      <c r="A53" t="s">
        <v>370</v>
      </c>
      <c r="B53" t="s">
        <v>72</v>
      </c>
      <c r="C53" t="s">
        <v>371</v>
      </c>
      <c r="D53" t="s">
        <v>334</v>
      </c>
      <c r="E53" t="s">
        <v>330</v>
      </c>
      <c r="F53" t="s">
        <v>19</v>
      </c>
      <c r="G53" s="5" t="s">
        <v>317</v>
      </c>
      <c r="H53" s="5" t="str">
        <f>HYPERLINK("http://www.lghausys.co.kr/popup/rn/download/downloadPopup.jsp?from=plwindow&amp;uu=/upload/window/DOCUMENT/SECTION-P-230W.dwg","다운로드")</f>
        <v>다운로드</v>
      </c>
      <c r="I53" s="5" t="str">
        <f>HYPERLINK("http://www.lghausys.co.kr/popup/rn/download/downloadPopup.jsp?from=plwindow&amp;uu=/upload/window/DOCUMENT/FRONT-P-230W.dwg","다운로드")</f>
        <v>다운로드</v>
      </c>
      <c r="J53" s="5" t="str">
        <f>HYPERLINK("http://www.lghausys.co.kr/popup/rn/download/downloadPopup.jsp?from=plwindow&amp;uu=/upload/window/DOCUMENT/INSTALL-P-230W.dwg","다운로드")</f>
        <v>다운로드</v>
      </c>
      <c r="K53" s="5" t="str">
        <f>HYPERLINK("http://www.lghausys.co.kr/popup/rn/download/downloadPopup.jsp?from=plwindow&amp;uu=/upload/window/DOCUMENT/SECTION-P-230W.pdf","다운로드")</f>
        <v>다운로드</v>
      </c>
      <c r="L53" s="5" t="str">
        <f>HYPERLINK("http://www.lghausys.co.kr/popup/rn/download/downloadPopup.jsp?from=plwindow&amp;uu=/upload/window/DOCUMENT/FRONT-P-230W.pdf","다운로드")</f>
        <v>다운로드</v>
      </c>
      <c r="M53" s="5" t="str">
        <f>HYPERLINK("http://www.lghausys.co.kr/popup/rn/download/downloadPopup.jsp?from=plwindow&amp;uu=/upload/window/DOCUMENT/INSTALL-P-230W.pdf","다운로드")</f>
        <v>다운로드</v>
      </c>
      <c r="N53" s="5" t="str">
        <f t="shared" ref="N53:N62" si="0">HYPERLINK("http://www.lghausys.co.kr/popup/rn/download/downloadPopup.jsp?from=plwindow&amp;uu=/upload/window/INFO/INTRO-POWERSave.pdf","다운로드")</f>
        <v>다운로드</v>
      </c>
      <c r="O53" s="5" t="str">
        <f t="shared" ref="O53:O59" si="1">HYPERLINK("http://www.lghausys.co.kr/popup/rn/download/downloadPopup.jsp?from=plwindow&amp;uu=/upload/window/INFO/INTRO(B2B)-POWERSave.pdf","다운로드")</f>
        <v>다운로드</v>
      </c>
      <c r="P53" s="5" t="str">
        <f t="shared" ref="P53:P62" si="2">HYPERLINK("http://www.lghausys.co.kr/popup/rn/download/downloadPopup.jsp?from=plwindow&amp;uu=/upload/window/INFO/REFLET-POWERSave.pdf","다운로드")</f>
        <v>다운로드</v>
      </c>
      <c r="Q53" s="5" t="str">
        <f t="shared" ref="Q53:Q62" si="3">HYPERLINK("http://www.lghausys.co.kr/popup/rn/download/downloadPopup.jsp?from=plwindow&amp;uu=/upload/window/INFO/REF-POWERSave.pdf","다운로드")</f>
        <v>다운로드</v>
      </c>
      <c r="R53" s="5" t="str">
        <f>HYPERLINK("http://www.lghausys.co.kr/popup/rn/download/downloadPopup.jsp?from=plwindow&amp;uu=/upload/window/DOCUMENT/GUIDE-P-230W.hwp","다운로드")</f>
        <v>다운로드</v>
      </c>
      <c r="S53" s="5" t="s">
        <v>19</v>
      </c>
      <c r="T53" t="s">
        <v>19</v>
      </c>
      <c r="U53" t="s">
        <v>19</v>
      </c>
      <c r="V53" t="s">
        <v>19</v>
      </c>
      <c r="W53" t="s">
        <v>19</v>
      </c>
      <c r="X53" t="s">
        <v>19</v>
      </c>
    </row>
    <row r="54" spans="1:24">
      <c r="A54" t="s">
        <v>372</v>
      </c>
      <c r="B54" t="s">
        <v>225</v>
      </c>
      <c r="C54" t="s">
        <v>371</v>
      </c>
      <c r="D54" t="s">
        <v>334</v>
      </c>
      <c r="E54" t="s">
        <v>330</v>
      </c>
      <c r="F54" t="s">
        <v>19</v>
      </c>
      <c r="G54" s="5" t="s">
        <v>317</v>
      </c>
      <c r="H54" s="5" t="str">
        <f>HYPERLINK("http://www.lghausys.co.kr/popup/rn/download/downloadPopup.jsp?from=plwindow&amp;uu=/upload/window/DOCUMENT/SECTION-P-230WL.dwg","다운로드")</f>
        <v>다운로드</v>
      </c>
      <c r="I54" s="5" t="str">
        <f>HYPERLINK("http://www.lghausys.co.kr/popup/rn/download/downloadPopup.jsp?from=plwindow&amp;uu=/upload/window/DOCUMENT/FRONT-P-230WL.dwg","다운로드")</f>
        <v>다운로드</v>
      </c>
      <c r="J54" s="5" t="str">
        <f>HYPERLINK("http://www.lghausys.co.kr/popup/rn/download/downloadPopup.jsp?from=plwindow&amp;uu=/upload/window/DOCUMENT/INSTALL-P-230WL.dwg","다운로드")</f>
        <v>다운로드</v>
      </c>
      <c r="K54" s="5" t="str">
        <f>HYPERLINK("http://www.lghausys.co.kr/popup/rn/download/downloadPopup.jsp?from=plwindow&amp;uu=/upload/window/DOCUMENT/SECTION-P-230WL.pdf","다운로드")</f>
        <v>다운로드</v>
      </c>
      <c r="L54" s="5" t="str">
        <f>HYPERLINK("http://www.lghausys.co.kr/popup/rn/download/downloadPopup.jsp?from=plwindow&amp;uu=/upload/window/DOCUMENT/FRONT-P-230WL.pdf","다운로드")</f>
        <v>다운로드</v>
      </c>
      <c r="M54" s="5" t="str">
        <f>HYPERLINK("http://www.lghausys.co.kr/popup/rn/download/downloadPopup.jsp?from=plwindow&amp;uu=/upload/window/DOCUMENT/INSTALL-P-230WL.pdf","다운로드")</f>
        <v>다운로드</v>
      </c>
      <c r="N54" s="5" t="str">
        <f t="shared" si="0"/>
        <v>다운로드</v>
      </c>
      <c r="O54" s="5" t="str">
        <f t="shared" si="1"/>
        <v>다운로드</v>
      </c>
      <c r="P54" s="5" t="str">
        <f t="shared" si="2"/>
        <v>다운로드</v>
      </c>
      <c r="Q54" s="5" t="str">
        <f t="shared" si="3"/>
        <v>다운로드</v>
      </c>
      <c r="R54" s="5" t="str">
        <f>HYPERLINK("http://www.lghausys.co.kr/popup/rn/download/downloadPopup.jsp?from=plwindow&amp;uu=/upload/window/DOCUMENT/GUIDE-P-230WL.hwp","다운로드")</f>
        <v>다운로드</v>
      </c>
      <c r="S54" s="5" t="s">
        <v>19</v>
      </c>
      <c r="T54" t="s">
        <v>19</v>
      </c>
      <c r="U54" t="s">
        <v>19</v>
      </c>
      <c r="V54" t="s">
        <v>19</v>
      </c>
      <c r="W54" t="s">
        <v>19</v>
      </c>
      <c r="X54" t="s">
        <v>19</v>
      </c>
    </row>
    <row r="55" spans="1:24">
      <c r="A55" t="s">
        <v>373</v>
      </c>
      <c r="B55" t="s">
        <v>224</v>
      </c>
      <c r="C55" t="s">
        <v>371</v>
      </c>
      <c r="D55" t="s">
        <v>334</v>
      </c>
      <c r="E55" t="s">
        <v>330</v>
      </c>
      <c r="F55" t="s">
        <v>19</v>
      </c>
      <c r="G55" s="5" t="s">
        <v>315</v>
      </c>
      <c r="H55" s="5" t="str">
        <f>HYPERLINK("http://www.lghausys.co.kr/popup/rn/download/downloadPopup.jsp?from=plwindow&amp;uu=/upload/window/DOCUMENT/SECTION-P-230WF.dwg","다운로드")</f>
        <v>다운로드</v>
      </c>
      <c r="I55" s="5" t="str">
        <f>HYPERLINK("http://www.lghausys.co.kr/popup/rn/download/downloadPopup.jsp?from=plwindow&amp;uu=/upload/window/DOCUMENT/FRONT-P-230WF.dwg","다운로드")</f>
        <v>다운로드</v>
      </c>
      <c r="J55" s="5" t="str">
        <f>HYPERLINK("http://www.lghausys.co.kr/popup/rn/download/downloadPopup.jsp?from=plwindow&amp;uu=/upload/window/DOCUMENT/INSTALL-P-230WF.dwg","다운로드")</f>
        <v>다운로드</v>
      </c>
      <c r="K55" s="5" t="str">
        <f>HYPERLINK("http://www.lghausys.co.kr/popup/rn/download/downloadPopup.jsp?from=plwindow&amp;uu=/upload/window/DOCUMENT/SECTION-P-230WF.pdf","다운로드")</f>
        <v>다운로드</v>
      </c>
      <c r="L55" s="5" t="str">
        <f>HYPERLINK("http://www.lghausys.co.kr/popup/rn/download/downloadPopup.jsp?from=plwindow&amp;uu=/upload/window/DOCUMENT/FRONT-P-230WF.pdf","다운로드")</f>
        <v>다운로드</v>
      </c>
      <c r="M55" s="5" t="str">
        <f>HYPERLINK("http://www.lghausys.co.kr/popup/rn/download/downloadPopup.jsp?from=plwindow&amp;uu=/upload/window/DOCUMENT/INSTALL-P-230WF.pdf","다운로드")</f>
        <v>다운로드</v>
      </c>
      <c r="N55" s="5" t="str">
        <f t="shared" si="0"/>
        <v>다운로드</v>
      </c>
      <c r="O55" s="5" t="str">
        <f t="shared" si="1"/>
        <v>다운로드</v>
      </c>
      <c r="P55" s="5" t="str">
        <f t="shared" si="2"/>
        <v>다운로드</v>
      </c>
      <c r="Q55" s="5" t="str">
        <f t="shared" si="3"/>
        <v>다운로드</v>
      </c>
      <c r="R55" s="5" t="str">
        <f>HYPERLINK("http://www.lghausys.co.kr/popup/rn/download/downloadPopup.jsp?from=plwindow&amp;uu=/upload/window/DOCUMENT/GUIDE-P-230WF.hwp","다운로드")</f>
        <v>다운로드</v>
      </c>
      <c r="S55" s="5" t="s">
        <v>19</v>
      </c>
      <c r="T55" t="s">
        <v>19</v>
      </c>
      <c r="U55" t="s">
        <v>19</v>
      </c>
      <c r="V55" t="s">
        <v>19</v>
      </c>
      <c r="W55" t="s">
        <v>19</v>
      </c>
      <c r="X55" t="s">
        <v>19</v>
      </c>
    </row>
    <row r="56" spans="1:24">
      <c r="A56" t="s">
        <v>373</v>
      </c>
      <c r="B56" t="s">
        <v>171</v>
      </c>
      <c r="C56" t="s">
        <v>371</v>
      </c>
      <c r="D56" t="s">
        <v>334</v>
      </c>
      <c r="E56" t="s">
        <v>330</v>
      </c>
      <c r="F56" t="s">
        <v>19</v>
      </c>
      <c r="G56" s="5" t="s">
        <v>317</v>
      </c>
      <c r="H56" s="5" t="str">
        <f>HYPERLINK("http://www.lghausys.co.kr/popup/rn/download/downloadPopup.jsp?from=plwindow&amp;uu=/upload/window/DOCUMENT/SECTION-P-205WF.dwg","다운로드")</f>
        <v>다운로드</v>
      </c>
      <c r="I56" s="5" t="str">
        <f>HYPERLINK("http://www.lghausys.co.kr/popup/rn/download/downloadPopup.jsp?from=plwindow&amp;uu=/upload/window/DOCUMENT/FRONT-P-205WF.dwg","다운로드")</f>
        <v>다운로드</v>
      </c>
      <c r="J56" s="5" t="str">
        <f>HYPERLINK("http://www.lghausys.co.kr/popup/rn/download/downloadPopup.jsp?from=plwindow&amp;uu=/upload/window/DOCUMENT/INSTALL-P-205WF.dwg","다운로드")</f>
        <v>다운로드</v>
      </c>
      <c r="K56" s="5" t="str">
        <f>HYPERLINK("http://www.lghausys.co.kr/popup/rn/download/downloadPopup.jsp?from=plwindow&amp;uu=/upload/window/DOCUMENT/SECTION-P-205WF.pdf","다운로드")</f>
        <v>다운로드</v>
      </c>
      <c r="L56" s="5" t="str">
        <f>HYPERLINK("http://www.lghausys.co.kr/popup/rn/download/downloadPopup.jsp?from=plwindow&amp;uu=/upload/window/DOCUMENT/FRONT-P-205WF.pdf","다운로드")</f>
        <v>다운로드</v>
      </c>
      <c r="M56" s="5" t="str">
        <f>HYPERLINK("http://www.lghausys.co.kr/popup/rn/download/downloadPopup.jsp?from=plwindow&amp;uu=/upload/window/DOCUMENT/INSTALL-P-205WF.pdf","다운로드")</f>
        <v>다운로드</v>
      </c>
      <c r="N56" s="5" t="str">
        <f t="shared" si="0"/>
        <v>다운로드</v>
      </c>
      <c r="O56" s="5" t="str">
        <f t="shared" si="1"/>
        <v>다운로드</v>
      </c>
      <c r="P56" s="5" t="str">
        <f t="shared" si="2"/>
        <v>다운로드</v>
      </c>
      <c r="Q56" s="5" t="str">
        <f t="shared" si="3"/>
        <v>다운로드</v>
      </c>
      <c r="R56" s="5" t="str">
        <f>HYPERLINK("http://www.lghausys.co.kr/popup/rn/download/downloadPopup.jsp?from=plwindow&amp;uu=/upload/window/DOCUMENT/GUIDE-P-205WF.hwp","다운로드")</f>
        <v>다운로드</v>
      </c>
      <c r="S56" s="5" t="s">
        <v>19</v>
      </c>
      <c r="T56" t="s">
        <v>19</v>
      </c>
      <c r="U56" t="s">
        <v>19</v>
      </c>
      <c r="V56" t="s">
        <v>19</v>
      </c>
      <c r="W56" t="s">
        <v>19</v>
      </c>
      <c r="X56" t="s">
        <v>19</v>
      </c>
    </row>
    <row r="57" spans="1:24">
      <c r="A57" t="s">
        <v>374</v>
      </c>
      <c r="B57" t="s">
        <v>130</v>
      </c>
      <c r="C57" t="s">
        <v>375</v>
      </c>
      <c r="D57" t="s">
        <v>334</v>
      </c>
      <c r="E57" t="s">
        <v>330</v>
      </c>
      <c r="F57" t="s">
        <v>19</v>
      </c>
      <c r="G57" s="5" t="s">
        <v>317</v>
      </c>
      <c r="H57" s="5" t="str">
        <f>HYPERLINK("http://www.lghausys.co.kr/popup/rn/download/downloadPopup.jsp?from=plwindow&amp;uu=/upload/window/DOCUMENT/SECTION-P-125.dwg","다운로드")</f>
        <v>다운로드</v>
      </c>
      <c r="I57" s="5" t="str">
        <f>HYPERLINK("http://www.lghausys.co.kr/popup/rn/download/downloadPopup.jsp?from=plwindow&amp;uu=/upload/window/DOCUMENT/FRONT-P-125.dwg","다운로드")</f>
        <v>다운로드</v>
      </c>
      <c r="J57" s="5" t="str">
        <f>HYPERLINK("http://www.lghausys.co.kr/popup/rn/download/downloadPopup.jsp?from=plwindow&amp;uu=/upload/window/DOCUMENT/INSTALL-P-125.dwg","다운로드")</f>
        <v>다운로드</v>
      </c>
      <c r="K57" s="5" t="str">
        <f>HYPERLINK("http://www.lghausys.co.kr/popup/rn/download/downloadPopup.jsp?from=plwindow&amp;uu=/upload/window/DOCUMENT/SECTION-P-125.pdf","다운로드")</f>
        <v>다운로드</v>
      </c>
      <c r="L57" s="5" t="str">
        <f>HYPERLINK("http://www.lghausys.co.kr/popup/rn/download/downloadPopup.jsp?from=plwindow&amp;uu=/upload/window/DOCUMENT/FRONT-P-125.pdf","다운로드")</f>
        <v>다운로드</v>
      </c>
      <c r="M57" s="5" t="str">
        <f>HYPERLINK("http://www.lghausys.co.kr/popup/rn/download/downloadPopup.jsp?from=plwindow&amp;uu=/upload/window/DOCUMENT/INSTALL-P-125.pdf","다운로드")</f>
        <v>다운로드</v>
      </c>
      <c r="N57" s="5" t="str">
        <f t="shared" si="0"/>
        <v>다운로드</v>
      </c>
      <c r="O57" s="5" t="str">
        <f t="shared" si="1"/>
        <v>다운로드</v>
      </c>
      <c r="P57" s="5" t="str">
        <f t="shared" si="2"/>
        <v>다운로드</v>
      </c>
      <c r="Q57" s="5" t="str">
        <f t="shared" si="3"/>
        <v>다운로드</v>
      </c>
      <c r="R57" s="5" t="str">
        <f>HYPERLINK("http://www.lghausys.co.kr/popup/rn/download/downloadPopup.jsp?from=plwindow&amp;uu=/upload/window/DOCUMENT/GUIDE-P-125.hwp","다운로드")</f>
        <v>다운로드</v>
      </c>
      <c r="S57" s="5" t="str">
        <f>HYPERLINK("http://www.lghausys.co.kr/popup/rn/download/downloadPopup.jsp?from=plwindow&amp;uu=/upload/window/INFO/HELP-POWERSave.pdf","다운로드")</f>
        <v>다운로드</v>
      </c>
      <c r="T57" t="str">
        <f>HYPERLINK("http://www.lghausys.co.kr/popup/rn/download/downloadPopup.jsp?from=plwindow&amp;uu=/upload/window/DOCUMENT/WINDMAX-P-125.pdf","다운로드")</f>
        <v>다운로드</v>
      </c>
      <c r="U57" t="str">
        <f>HYPERLINK("http://www.lghausys.co.kr/popup/rn/download/downloadPopup.jsp?from=plwindow&amp;uu=/upload/window/DOCUMENT/WIND20-P-125.pdf","다운로드")</f>
        <v>다운로드</v>
      </c>
      <c r="V57" t="str">
        <f>HYPERLINK("http://www.lghausys.co.kr/popup/rn/download/downloadPopup.jsp?from=plwindow&amp;uu=/upload/window/DOCUMENT/WIND15-P-125.pdf","다운로드")</f>
        <v>다운로드</v>
      </c>
      <c r="W57" t="str">
        <f>HYPERLINK("http://www.lghausys.co.kr/popup/rn/download/downloadPopup.jsp?from=plwindow&amp;uu=/upload/window/DOCUMENT/WIND10-P-125.pdf","다운로드")</f>
        <v>다운로드</v>
      </c>
      <c r="X57" t="str">
        <f>HYPERLINK("http://www.lghausys.co.kr/popup/rn/download/downloadPopup.jsp?from=plwindow&amp;uu=/upload/window/DOCUMENT/WIND05-P-125.pdf","다운로드")</f>
        <v>다운로드</v>
      </c>
    </row>
    <row r="58" spans="1:24">
      <c r="A58" t="s">
        <v>376</v>
      </c>
      <c r="B58" t="s">
        <v>144</v>
      </c>
      <c r="C58" t="s">
        <v>375</v>
      </c>
      <c r="D58" t="s">
        <v>334</v>
      </c>
      <c r="E58" t="s">
        <v>330</v>
      </c>
      <c r="F58" t="s">
        <v>330</v>
      </c>
      <c r="G58" s="5" t="s">
        <v>317</v>
      </c>
      <c r="H58" s="5" t="str">
        <f>HYPERLINK("http://www.lghausys.co.kr/popup/rn/download/downloadPopup.jsp?from=plwindow&amp;uu=/upload/window/DOCUMENT/SECTION-P-235.dwg","다운로드")</f>
        <v>다운로드</v>
      </c>
      <c r="I58" s="5" t="str">
        <f>HYPERLINK("http://www.lghausys.co.kr/popup/rn/download/downloadPopup.jsp?from=plwindow&amp;uu=/upload/window/DOCUMENT/FRONT-P-235.dwg","다운로드")</f>
        <v>다운로드</v>
      </c>
      <c r="J58" s="5" t="str">
        <f>HYPERLINK("http://www.lghausys.co.kr/popup/rn/download/downloadPopup.jsp?from=plwindow&amp;uu=/upload/window/DOCUMENT/INSTALL-P-235.dwg","다운로드")</f>
        <v>다운로드</v>
      </c>
      <c r="K58" s="5" t="str">
        <f>HYPERLINK("http://www.lghausys.co.kr/popup/rn/download/downloadPopup.jsp?from=plwindow&amp;uu=/upload/window/DOCUMENT/SECTION-P-235.pdf","다운로드")</f>
        <v>다운로드</v>
      </c>
      <c r="L58" s="5" t="str">
        <f>HYPERLINK("http://www.lghausys.co.kr/popup/rn/download/downloadPopup.jsp?from=plwindow&amp;uu=/upload/window/DOCUMENT/FRONT-P-235.pdf","다운로드")</f>
        <v>다운로드</v>
      </c>
      <c r="M58" s="5" t="str">
        <f>HYPERLINK("http://www.lghausys.co.kr/popup/rn/download/downloadPopup.jsp?from=plwindow&amp;uu=/upload/window/DOCUMENT/INSTALL-P-235.pdf","다운로드")</f>
        <v>다운로드</v>
      </c>
      <c r="N58" s="5" t="str">
        <f t="shared" si="0"/>
        <v>다운로드</v>
      </c>
      <c r="O58" s="5" t="str">
        <f t="shared" si="1"/>
        <v>다운로드</v>
      </c>
      <c r="P58" s="5" t="str">
        <f t="shared" si="2"/>
        <v>다운로드</v>
      </c>
      <c r="Q58" s="5" t="str">
        <f t="shared" si="3"/>
        <v>다운로드</v>
      </c>
      <c r="R58" s="5" t="str">
        <f>HYPERLINK("http://www.lghausys.co.kr/popup/rn/download/downloadPopup.jsp?from=plwindow&amp;uu=/upload/window/DOCUMENT/GUIDE-P-235.hwp","다운로드")</f>
        <v>다운로드</v>
      </c>
      <c r="S58" s="5" t="str">
        <f>HYPERLINK("http://www.lghausys.co.kr/popup/rn/download/downloadPopup.jsp?from=plwindow&amp;uu=/upload/window/INFO/HELP-POWERSave.pdf","다운로드")</f>
        <v>다운로드</v>
      </c>
      <c r="T58" t="str">
        <f>HYPERLINK("http://www.lghausys.co.kr/popup/rn/download/downloadPopup.jsp?from=plwindow&amp;uu=/upload/window/DOCUMENT/WINDMAX-P-235.pdf","다운로드")</f>
        <v>다운로드</v>
      </c>
      <c r="U58" t="str">
        <f>HYPERLINK("http://www.lghausys.co.kr/popup/rn/download/downloadPopup.jsp?from=plwindow&amp;uu=/upload/window/DOCUMENT/WIND20-P-235.pdf","다운로드")</f>
        <v>다운로드</v>
      </c>
      <c r="V58" t="str">
        <f>HYPERLINK("http://www.lghausys.co.kr/popup/rn/download/downloadPopup.jsp?from=plwindow&amp;uu=/upload/window/DOCUMENT/WIND15-P-235.pdf","다운로드")</f>
        <v>다운로드</v>
      </c>
      <c r="W58" t="str">
        <f>HYPERLINK("http://www.lghausys.co.kr/popup/rn/download/downloadPopup.jsp?from=plwindow&amp;uu=/upload/window/DOCUMENT/WIND10-P-235.pdf","다운로드")</f>
        <v>다운로드</v>
      </c>
      <c r="X58" t="str">
        <f>HYPERLINK("http://www.lghausys.co.kr/popup/rn/download/downloadPopup.jsp?from=plwindow&amp;uu=/upload/window/DOCUMENT/WIND05-P-235.pdf","다운로드")</f>
        <v>다운로드</v>
      </c>
    </row>
    <row r="59" spans="1:24">
      <c r="A59" t="s">
        <v>376</v>
      </c>
      <c r="B59" t="s">
        <v>100</v>
      </c>
      <c r="C59" t="s">
        <v>375</v>
      </c>
      <c r="D59" t="s">
        <v>334</v>
      </c>
      <c r="E59" t="s">
        <v>330</v>
      </c>
      <c r="F59" t="s">
        <v>330</v>
      </c>
      <c r="G59" s="5" t="s">
        <v>317</v>
      </c>
      <c r="H59" s="5" t="str">
        <f>HYPERLINK("http://www.lghausys.co.kr/popup/rn/download/downloadPopup.jsp?from=plwindow&amp;uu=/upload/window/DOCUMENT/SECTION-P-250.dwg","다운로드")</f>
        <v>다운로드</v>
      </c>
      <c r="I59" s="5" t="str">
        <f>HYPERLINK("http://www.lghausys.co.kr/popup/rn/download/downloadPopup.jsp?from=plwindow&amp;uu=/upload/window/DOCUMENT/FRONT-P-250.dwg","다운로드")</f>
        <v>다운로드</v>
      </c>
      <c r="J59" s="5" t="str">
        <f>HYPERLINK("http://www.lghausys.co.kr/popup/rn/download/downloadPopup.jsp?from=plwindow&amp;uu=/upload/window/DOCUMENT/INSTALL-P-250.dwg","다운로드")</f>
        <v>다운로드</v>
      </c>
      <c r="K59" s="5" t="str">
        <f>HYPERLINK("http://www.lghausys.co.kr/popup/rn/download/downloadPopup.jsp?from=plwindow&amp;uu=/upload/window/DOCUMENT/SECTION-P-250.pdf","다운로드")</f>
        <v>다운로드</v>
      </c>
      <c r="L59" s="23" t="str">
        <f>HYPERLINK("http://www.lghausys.co.kr/popup/rn/download/downloadPopup.jsp?from=plwindow&amp;uu=/upload/window/DOCUMENT/FRONT-P-250.pdf","다운로드")</f>
        <v>다운로드</v>
      </c>
      <c r="M59" s="5" t="str">
        <f>HYPERLINK("http://www.lghausys.co.kr/popup/rn/download/downloadPopup.jsp?from=plwindow&amp;uu=/upload/window/DOCUMENT/INSTALL-P-250.pdf","다운로드")</f>
        <v>다운로드</v>
      </c>
      <c r="N59" s="5" t="str">
        <f t="shared" si="0"/>
        <v>다운로드</v>
      </c>
      <c r="O59" s="5" t="str">
        <f t="shared" si="1"/>
        <v>다운로드</v>
      </c>
      <c r="P59" s="5" t="str">
        <f t="shared" si="2"/>
        <v>다운로드</v>
      </c>
      <c r="Q59" s="5" t="str">
        <f t="shared" si="3"/>
        <v>다운로드</v>
      </c>
      <c r="R59" s="5" t="str">
        <f>HYPERLINK("http://www.lghausys.co.kr/popup/rn/download/downloadPopup.jsp?from=plwindow&amp;uu=/upload/window/DOCUMENT/GUIDE-P-250.hwp","다운로드")</f>
        <v>다운로드</v>
      </c>
      <c r="S59" s="5" t="str">
        <f>HYPERLINK("http://www.lghausys.co.kr/popup/rn/download/downloadPopup.jsp?from=plwindow&amp;uu=/upload/window/INFO/HELP-POWERSave.pdf","다운로드")</f>
        <v>다운로드</v>
      </c>
      <c r="T59" t="str">
        <f>HYPERLINK("http://www.lghausys.co.kr/popup/rn/download/downloadPopup.jsp?from=plwindow&amp;uu=/upload/window/DOCUMENT/WINDMAX-P-250.pdf","다운로드")</f>
        <v>다운로드</v>
      </c>
      <c r="U59" t="str">
        <f>HYPERLINK("http://www.lghausys.co.kr/popup/rn/download/downloadPopup.jsp?from=plwindow&amp;uu=/upload/window/DOCUMENT/WIND20-P-250.pdf","다운로드")</f>
        <v>다운로드</v>
      </c>
      <c r="V59" t="str">
        <f>HYPERLINK("http://www.lghausys.co.kr/popup/rn/download/downloadPopup.jsp?from=plwindow&amp;uu=/upload/window/DOCUMENT/WIND15-P-250.pdf","다운로드")</f>
        <v>다운로드</v>
      </c>
      <c r="W59" t="str">
        <f>HYPERLINK("http://www.lghausys.co.kr/popup/rn/download/downloadPopup.jsp?from=plwindow&amp;uu=/upload/window/DOCUMENT/WIND10-P-250.pdf","다운로드")</f>
        <v>다운로드</v>
      </c>
      <c r="X59" t="str">
        <f>HYPERLINK("http://www.lghausys.co.kr/popup/rn/download/downloadPopup.jsp?from=plwindow&amp;uu=/upload/window/DOCUMENT/WIND05-P-250.pdf","다운로드")</f>
        <v>다운로드</v>
      </c>
    </row>
    <row r="60" spans="1:24">
      <c r="A60" t="s">
        <v>377</v>
      </c>
      <c r="B60" t="s">
        <v>42</v>
      </c>
      <c r="C60" t="s">
        <v>371</v>
      </c>
      <c r="D60" t="s">
        <v>341</v>
      </c>
      <c r="E60" t="s">
        <v>342</v>
      </c>
      <c r="F60" t="s">
        <v>19</v>
      </c>
      <c r="G60" s="5" t="s">
        <v>317</v>
      </c>
      <c r="H60" s="5" t="str">
        <f>HYPERLINK("http://www.lghausys.co.kr/popup/rn/download/downloadPopup.jsp?from=plwindow&amp;uu=/upload/window/DOCUMENT/SECTION-P-TD140.dwg","다운로드")</f>
        <v>다운로드</v>
      </c>
      <c r="I60" s="5" t="str">
        <f>HYPERLINK("http://www.lghausys.co.kr/popup/rn/download/downloadPopup.jsp?from=plwindow&amp;uu=/upload/window/DOCUMENT/FRONT-P-TD140.dwg","다운로드")</f>
        <v>다운로드</v>
      </c>
      <c r="J60" s="5" t="str">
        <f>HYPERLINK("http://www.lghausys.co.kr/popup/rn/download/downloadPopup.jsp?from=plwindow&amp;uu=/upload/window/DOCUMENT/INSTALL-P-TD140.dwg","다운로드")</f>
        <v>다운로드</v>
      </c>
      <c r="K60" s="5" t="str">
        <f>HYPERLINK("http://www.lghausys.co.kr/popup/rn/download/downloadPopup.jsp?from=plwindow&amp;uu=/upload/window/DOCUMENT/SECTION-P-TD140.pdf","다운로드")</f>
        <v>다운로드</v>
      </c>
      <c r="L60" s="23" t="str">
        <f>HYPERLINK("http://www.lghausys.co.kr/popup/rn/download/downloadPopup.jsp?from=plwindow&amp;uu=/upload/window/DOCUMENT/FRONT-P-TD140.pdf","다운로드")</f>
        <v>다운로드</v>
      </c>
      <c r="M60" s="5" t="str">
        <f>HYPERLINK("http://www.lghausys.co.kr/popup/rn/download/downloadPopup.jsp?from=plwindow&amp;uu=/upload/window/DOCUMENT/INSTALL-P-TD140.pdf","다운로드")</f>
        <v>다운로드</v>
      </c>
      <c r="N60" s="5" t="str">
        <f t="shared" si="0"/>
        <v>다운로드</v>
      </c>
      <c r="O60" s="5" t="s">
        <v>19</v>
      </c>
      <c r="P60" s="5" t="str">
        <f t="shared" si="2"/>
        <v>다운로드</v>
      </c>
      <c r="Q60" s="5" t="str">
        <f t="shared" si="3"/>
        <v>다운로드</v>
      </c>
      <c r="R60" s="5" t="str">
        <f>HYPERLINK("http://www.lghausys.co.kr/popup/rn/download/downloadPopup.jsp?from=plwindow&amp;uu=/upload/window/DOCUMENT/GUIDE-P-TD140.hwp","다운로드")</f>
        <v>다운로드</v>
      </c>
      <c r="S60" s="5" t="s">
        <v>19</v>
      </c>
      <c r="T60" t="s">
        <v>19</v>
      </c>
      <c r="U60" t="s">
        <v>19</v>
      </c>
      <c r="V60" t="s">
        <v>19</v>
      </c>
      <c r="W60" t="s">
        <v>19</v>
      </c>
      <c r="X60" t="s">
        <v>19</v>
      </c>
    </row>
    <row r="61" spans="1:24">
      <c r="A61" t="s">
        <v>378</v>
      </c>
      <c r="B61" t="s">
        <v>57</v>
      </c>
      <c r="C61" t="s">
        <v>379</v>
      </c>
      <c r="D61" t="s">
        <v>344</v>
      </c>
      <c r="E61" t="s">
        <v>380</v>
      </c>
      <c r="F61" t="s">
        <v>19</v>
      </c>
      <c r="G61" s="5" t="s">
        <v>317</v>
      </c>
      <c r="H61" s="5" t="str">
        <f>HYPERLINK("http://www.lghausys.co.kr/popup/rn/download/downloadPopup.jsp?from=plwindow&amp;uu=/upload/window/DOCUMENT/SECTION-P-TH60.dwg","다운로드")</f>
        <v>다운로드</v>
      </c>
      <c r="I61" s="5" t="str">
        <f>HYPERLINK("http://www.lghausys.co.kr/popup/rn/download/downloadPopup.jsp?from=plwindow&amp;uu=/upload/window/DOCUMENT/FRONT-P-TH60.dwg","다운로드")</f>
        <v>다운로드</v>
      </c>
      <c r="J61" s="5" t="s">
        <v>19</v>
      </c>
      <c r="K61" s="5" t="str">
        <f>HYPERLINK("http://www.lghausys.co.kr/popup/rn/download/downloadPopup.jsp?from=plwindow&amp;uu=/upload/window/DOCUMENT/SECTION-P-TH60.pdf","다운로드")</f>
        <v>다운로드</v>
      </c>
      <c r="L61" s="23" t="str">
        <f>HYPERLINK("http://www.lghausys.co.kr/popup/rn/download/downloadPopup.jsp?from=plwindow&amp;uu=/upload/window/DOCUMENT/FRONT-P-TH60.pdf","다운로드")</f>
        <v>다운로드</v>
      </c>
      <c r="M61" s="5" t="s">
        <v>19</v>
      </c>
      <c r="N61" s="5" t="str">
        <f t="shared" si="0"/>
        <v>다운로드</v>
      </c>
      <c r="O61" s="5" t="s">
        <v>19</v>
      </c>
      <c r="P61" s="5" t="str">
        <f t="shared" si="2"/>
        <v>다운로드</v>
      </c>
      <c r="Q61" s="5" t="str">
        <f t="shared" si="3"/>
        <v>다운로드</v>
      </c>
      <c r="R61" s="5" t="s">
        <v>19</v>
      </c>
      <c r="S61" s="5" t="s">
        <v>19</v>
      </c>
      <c r="T61" t="s">
        <v>19</v>
      </c>
      <c r="U61" t="s">
        <v>19</v>
      </c>
      <c r="V61" t="s">
        <v>19</v>
      </c>
      <c r="W61" t="s">
        <v>19</v>
      </c>
      <c r="X61" t="s">
        <v>19</v>
      </c>
    </row>
    <row r="62" spans="1:24">
      <c r="A62" t="s">
        <v>378</v>
      </c>
      <c r="B62" t="s">
        <v>381</v>
      </c>
      <c r="C62" t="s">
        <v>379</v>
      </c>
      <c r="D62" t="s">
        <v>344</v>
      </c>
      <c r="E62" t="s">
        <v>382</v>
      </c>
      <c r="F62" t="s">
        <v>19</v>
      </c>
      <c r="G62" s="5" t="s">
        <v>317</v>
      </c>
      <c r="H62" s="5" t="str">
        <f>HYPERLINK("http://www.lghausys.co.kr/popup/rn/download/downloadPopup.jsp?from=plwindow&amp;uu=/upload/window/DOCUMENT/SECTION-P-SH60.dwg","다운로드")</f>
        <v>다운로드</v>
      </c>
      <c r="I62" s="5" t="str">
        <f>HYPERLINK("http://www.lghausys.co.kr/popup/rn/download/downloadPopup.jsp?from=plwindow&amp;uu=/upload/window/DOCUMENT/FRONT-P-SH60.dwg","다운로드")</f>
        <v>다운로드</v>
      </c>
      <c r="J62" s="5" t="s">
        <v>19</v>
      </c>
      <c r="K62" s="5" t="str">
        <f>HYPERLINK("http://www.lghausys.co.kr/popup/rn/download/downloadPopup.jsp?from=plwindow&amp;uu=/upload/window/DOCUMENT/SECTION-P-SH60.pdf","다운로드")</f>
        <v>다운로드</v>
      </c>
      <c r="L62" s="23" t="str">
        <f>HYPERLINK("http://www.lghausys.co.kr/popup/rn/download/downloadPopup.jsp?from=plwindow&amp;uu=/upload/window/DOCUMENT/FRONT-P-SH60.pdf","다운로드")</f>
        <v>다운로드</v>
      </c>
      <c r="M62" s="5" t="s">
        <v>19</v>
      </c>
      <c r="N62" s="5" t="str">
        <f t="shared" si="0"/>
        <v>다운로드</v>
      </c>
      <c r="O62" s="5" t="s">
        <v>19</v>
      </c>
      <c r="P62" s="5" t="str">
        <f t="shared" si="2"/>
        <v>다운로드</v>
      </c>
      <c r="Q62" s="5" t="str">
        <f t="shared" si="3"/>
        <v>다운로드</v>
      </c>
      <c r="R62" s="5" t="s">
        <v>19</v>
      </c>
      <c r="S62" s="5" t="s">
        <v>19</v>
      </c>
      <c r="T62" t="s">
        <v>19</v>
      </c>
      <c r="U62" t="s">
        <v>19</v>
      </c>
      <c r="V62" t="s">
        <v>19</v>
      </c>
      <c r="W62" t="s">
        <v>19</v>
      </c>
      <c r="X62" t="s">
        <v>19</v>
      </c>
    </row>
    <row r="63" spans="1:24">
      <c r="A63" t="s">
        <v>383</v>
      </c>
      <c r="B63" t="s">
        <v>133</v>
      </c>
      <c r="C63" t="s">
        <v>358</v>
      </c>
      <c r="D63" t="s">
        <v>352</v>
      </c>
      <c r="E63" t="s">
        <v>330</v>
      </c>
      <c r="F63" t="s">
        <v>330</v>
      </c>
      <c r="G63" s="5" t="s">
        <v>315</v>
      </c>
      <c r="H63" s="5" t="str">
        <f>HYPERLINK("http://www.lghausys.co.kr/popup/rn/download/downloadPopup.jsp?from=plwindow&amp;uu=/upload/window/DOCUMENT/SECTION-S7-260T.dwg","다운로드")</f>
        <v>다운로드</v>
      </c>
      <c r="I63" s="5" t="str">
        <f>HYPERLINK("http://www.lghausys.co.kr/popup/rn/download/downloadPopup.jsp?from=plwindow&amp;uu=/upload/window/DOCUMENT/FRONT-S7-260T.dwg","다운로드")</f>
        <v>다운로드</v>
      </c>
      <c r="J63" s="5" t="str">
        <f>HYPERLINK("http://www.lghausys.co.kr/popup/rn/download/downloadPopup.jsp?from=plwindow&amp;uu=/upload/window/DOCUMENT/INSTALL-S7-260T.dwg","다운로드")</f>
        <v>다운로드</v>
      </c>
      <c r="K63" s="5" t="str">
        <f>HYPERLINK("http://www.lghausys.co.kr/popup/rn/download/downloadPopup.jsp?from=plwindow&amp;uu=/upload/window/DOCUMENT/SECTION-S7-260T.pdf","다운로드")</f>
        <v>다운로드</v>
      </c>
      <c r="L63" s="23" t="str">
        <f>HYPERLINK("http://www.lghausys.co.kr/popup/rn/download/downloadPopup.jsp?from=plwindow&amp;uu=/upload/window/DOCUMENT/FRONT-S7-260T.pdf","다운로드")</f>
        <v>다운로드</v>
      </c>
      <c r="M63" s="5" t="str">
        <f>HYPERLINK("http://www.lghausys.co.kr/popup/rn/download/downloadPopup.jsp?from=plwindow&amp;uu=/upload/window/DOCUMENT/INSTALL-S7-260T.pdf","다운로드")</f>
        <v>다운로드</v>
      </c>
      <c r="N63" s="5" t="str">
        <f>HYPERLINK("http://www.lghausys.co.kr/popup/rn/download/downloadPopup.jsp?from=plwindow&amp;uu=/upload/window/INFO/INTRO-SUPERSave7TransomFacade.pdf","다운로드")</f>
        <v>다운로드</v>
      </c>
      <c r="O63" s="5" t="s">
        <v>19</v>
      </c>
      <c r="P63" s="5" t="s">
        <v>19</v>
      </c>
      <c r="Q63" s="5" t="s">
        <v>19</v>
      </c>
      <c r="R63" s="5" t="str">
        <f>HYPERLINK("http://www.lghausys.co.kr/popup/rn/download/downloadPopup.jsp?from=plwindow&amp;uu=/upload/window/DOCUMENT/GUIDE-S7-260T.hwp","다운로드")</f>
        <v>다운로드</v>
      </c>
      <c r="S63" s="5" t="s">
        <v>19</v>
      </c>
      <c r="T63" t="s">
        <v>19</v>
      </c>
      <c r="U63" t="s">
        <v>19</v>
      </c>
      <c r="V63" t="s">
        <v>19</v>
      </c>
      <c r="W63" t="s">
        <v>19</v>
      </c>
      <c r="X63" t="s">
        <v>19</v>
      </c>
    </row>
    <row r="64" spans="1:24">
      <c r="A64" t="s">
        <v>384</v>
      </c>
      <c r="B64" t="s">
        <v>135</v>
      </c>
      <c r="C64" t="s">
        <v>358</v>
      </c>
      <c r="D64" t="s">
        <v>352</v>
      </c>
      <c r="E64" t="s">
        <v>330</v>
      </c>
      <c r="F64" t="s">
        <v>330</v>
      </c>
      <c r="G64" s="5" t="s">
        <v>315</v>
      </c>
      <c r="H64" s="5" t="str">
        <f>HYPERLINK("http://www.lghausys.co.kr/popup/rn/download/downloadPopup.jsp?from=plwindow&amp;uu=/upload/window/DOCUMENT/SECTION-S5-250T.dwg","다운로드")</f>
        <v>다운로드</v>
      </c>
      <c r="I64" s="5" t="str">
        <f>HYPERLINK("http://www.lghausys.co.kr/popup/rn/download/downloadPopup.jsp?from=plwindow&amp;uu=/upload/window/DOCUMENT/FRONT-S5-250T.dwg","다운로드")</f>
        <v>다운로드</v>
      </c>
      <c r="J64" s="5" t="str">
        <f>HYPERLINK("http://www.lghausys.co.kr/popup/rn/download/downloadPopup.jsp?from=plwindow&amp;uu=/upload/window/DOCUMENT/INSTALL-S5-250T.dwg","다운로드")</f>
        <v>다운로드</v>
      </c>
      <c r="K64" s="5" t="str">
        <f>HYPERLINK("http://www.lghausys.co.kr/popup/rn/download/downloadPopup.jsp?from=plwindow&amp;uu=/upload/window/DOCUMENT/SECTION-S5-250T.pdf","다운로드")</f>
        <v>다운로드</v>
      </c>
      <c r="L64" s="23" t="str">
        <f>HYPERLINK("http://www.lghausys.co.kr/popup/rn/download/downloadPopup.jsp?from=plwindow&amp;uu=/upload/window/DOCUMENT/FRONT-S5-250T.pdf","다운로드")</f>
        <v>다운로드</v>
      </c>
      <c r="M64" s="5" t="str">
        <f>HYPERLINK("http://www.lghausys.co.kr/popup/rn/download/downloadPopup.jsp?from=plwindow&amp;uu=/upload/window/DOCUMENT/INSTALL-S5-250T.pdf","다운로드")</f>
        <v>다운로드</v>
      </c>
      <c r="N64" s="5" t="str">
        <f>HYPERLINK("http://www.lghausys.co.kr/popup/rn/download/downloadPopup.jsp?from=plwindow&amp;uu=/upload/window/INFO/INTRO-SUPERSave5TransomFacade.pdf","다운로드")</f>
        <v>다운로드</v>
      </c>
      <c r="O64" s="5" t="s">
        <v>19</v>
      </c>
      <c r="P64" s="5" t="s">
        <v>19</v>
      </c>
      <c r="Q64" s="5" t="s">
        <v>19</v>
      </c>
      <c r="R64" s="5" t="str">
        <f>HYPERLINK("http://www.lghausys.co.kr/popup/rn/download/downloadPopup.jsp?from=plwindow&amp;uu=/upload/window/DOCUMENT/GUIDE-S5-250T.hwp","다운로드")</f>
        <v>다운로드</v>
      </c>
      <c r="S64" s="5" t="s">
        <v>19</v>
      </c>
      <c r="T64" t="s">
        <v>19</v>
      </c>
      <c r="U64" t="s">
        <v>19</v>
      </c>
      <c r="V64" t="s">
        <v>19</v>
      </c>
      <c r="W64" t="s">
        <v>19</v>
      </c>
      <c r="X64" t="s">
        <v>19</v>
      </c>
    </row>
    <row r="65" spans="1:24">
      <c r="A65" t="s">
        <v>385</v>
      </c>
      <c r="B65" t="s">
        <v>136</v>
      </c>
      <c r="C65" t="s">
        <v>358</v>
      </c>
      <c r="D65" t="s">
        <v>352</v>
      </c>
      <c r="E65" t="s">
        <v>330</v>
      </c>
      <c r="F65" t="s">
        <v>19</v>
      </c>
      <c r="G65" s="5" t="s">
        <v>315</v>
      </c>
      <c r="H65" s="5" t="str">
        <f>HYPERLINK("http://www.lghausys.co.kr/popup/rn/download/downloadPopup.jsp?from=plwindow&amp;uu=/upload/window/DOCUMENT/SECTION-S5-140T.dwg","다운로드")</f>
        <v>다운로드</v>
      </c>
      <c r="I65" s="5" t="str">
        <f>HYPERLINK("http://www.lghausys.co.kr/popup/rn/download/downloadPopup.jsp?from=plwindow&amp;uu=/upload/window/DOCUMENT/FRONT-S5-140T.dwg","다운로드")</f>
        <v>다운로드</v>
      </c>
      <c r="J65" s="5" t="str">
        <f>HYPERLINK("http://www.lghausys.co.kr/popup/rn/download/downloadPopup.jsp?from=plwindow&amp;uu=/upload/window/DOCUMENT/INSTALL-S5-140T.dwg","다운로드")</f>
        <v>다운로드</v>
      </c>
      <c r="K65" s="5" t="str">
        <f>HYPERLINK("http://www.lghausys.co.kr/popup/rn/download/downloadPopup.jsp?from=plwindow&amp;uu=/upload/window/DOCUMENT/SECTION-S5-140T.pdf","다운로드")</f>
        <v>다운로드</v>
      </c>
      <c r="L65" s="23" t="str">
        <f>HYPERLINK("http://www.lghausys.co.kr/popup/rn/download/downloadPopup.jsp?from=plwindow&amp;uu=/upload/window/DOCUMENT/FRONT-S5-140T.pdf","다운로드")</f>
        <v>다운로드</v>
      </c>
      <c r="M65" s="5" t="str">
        <f>HYPERLINK("http://www.lghausys.co.kr/popup/rn/download/downloadPopup.jsp?from=plwindow&amp;uu=/upload/window/DOCUMENT/INSTALL-S5-140T.pdf","다운로드")</f>
        <v>다운로드</v>
      </c>
      <c r="N65" s="5" t="str">
        <f>HYPERLINK("http://www.lghausys.co.kr/popup/rn/download/downloadPopup.jsp?from=plwindow&amp;uu=/upload/window/INFO/INTRO-SUPERSave5TransomFacade.pdf","다운로드")</f>
        <v>다운로드</v>
      </c>
      <c r="O65" s="5" t="s">
        <v>19</v>
      </c>
      <c r="P65" s="5" t="s">
        <v>19</v>
      </c>
      <c r="Q65" s="5" t="s">
        <v>19</v>
      </c>
      <c r="R65" s="5" t="str">
        <f>HYPERLINK("http://www.lghausys.co.kr/popup/rn/download/downloadPopup.jsp?from=plwindow&amp;uu=/upload/window/DOCUMENT/GUIDE-S5-140T.hwp","다운로드")</f>
        <v>다운로드</v>
      </c>
      <c r="S65" s="5" t="s">
        <v>19</v>
      </c>
      <c r="T65" t="s">
        <v>19</v>
      </c>
      <c r="U65" t="s">
        <v>19</v>
      </c>
      <c r="V65" t="s">
        <v>19</v>
      </c>
      <c r="W65" t="s">
        <v>19</v>
      </c>
      <c r="X65" t="s">
        <v>19</v>
      </c>
    </row>
    <row r="66" spans="1:24">
      <c r="A66" t="s">
        <v>386</v>
      </c>
      <c r="B66" t="s">
        <v>222</v>
      </c>
      <c r="C66" t="s">
        <v>358</v>
      </c>
      <c r="D66" t="s">
        <v>352</v>
      </c>
      <c r="E66" t="s">
        <v>330</v>
      </c>
      <c r="F66" t="s">
        <v>330</v>
      </c>
      <c r="G66" s="5" t="s">
        <v>315</v>
      </c>
      <c r="H66" s="5" t="str">
        <f>HYPERLINK("http://www.lghausys.co.kr/popup/rn/download/downloadPopup.jsp?from=plwindow&amp;uu=/upload/window/DOCUMENT/SECTION-S3-250T.dwg","다운로드")</f>
        <v>다운로드</v>
      </c>
      <c r="I66" s="5" t="str">
        <f>HYPERLINK("http://www.lghausys.co.kr/popup/rn/download/downloadPopup.jsp?from=plwindow&amp;uu=/upload/window/DOCUMENT/FRONT-S3-250T.dwg","다운로드")</f>
        <v>다운로드</v>
      </c>
      <c r="J66" s="5" t="str">
        <f>HYPERLINK("http://www.lghausys.co.kr/popup/rn/download/downloadPopup.jsp?from=plwindow&amp;uu=/upload/window/DOCUMENT/INSTALL-S3-250T.dwg","다운로드")</f>
        <v>다운로드</v>
      </c>
      <c r="K66" s="5" t="str">
        <f>HYPERLINK("http://www.lghausys.co.kr/popup/rn/download/downloadPopup.jsp?from=plwindow&amp;uu=/upload/window/DOCUMENT/SECTION-S3-250T.pdf","다운로드")</f>
        <v>다운로드</v>
      </c>
      <c r="L66" s="23" t="str">
        <f>HYPERLINK("http://www.lghausys.co.kr/popup/rn/download/downloadPopup.jsp?from=plwindow&amp;uu=/upload/window/DOCUMENT/FRONT-S3-250T.pdf","다운로드")</f>
        <v>다운로드</v>
      </c>
      <c r="M66" s="5" t="str">
        <f>HYPERLINK("http://www.lghausys.co.kr/popup/rn/download/downloadPopup.jsp?from=plwindow&amp;uu=/upload/window/DOCUMENT/INSTALL-S3-250T.pdf","다운로드")</f>
        <v>다운로드</v>
      </c>
      <c r="N66" s="5" t="str">
        <f>HYPERLINK("http://www.lghausys.co.kr/popup/rn/download/downloadPopup.jsp?from=plwindow&amp;uu=/upload/window/INFO/INTRO-SUPERSave3TransomFacade.pdf","다운로드")</f>
        <v>다운로드</v>
      </c>
      <c r="O66" s="5" t="s">
        <v>19</v>
      </c>
      <c r="P66" s="5" t="s">
        <v>19</v>
      </c>
      <c r="Q66" s="5" t="s">
        <v>19</v>
      </c>
      <c r="R66" s="5" t="str">
        <f>HYPERLINK("http://www.lghausys.co.kr/popup/rn/download/downloadPopup.jsp?from=plwindow&amp;uu=/upload/window/DOCUMENT/GUIDE-S3-250T.hwp","다운로드")</f>
        <v>다운로드</v>
      </c>
      <c r="S66" s="5" t="s">
        <v>19</v>
      </c>
      <c r="T66" t="s">
        <v>19</v>
      </c>
      <c r="U66" t="s">
        <v>19</v>
      </c>
      <c r="V66" t="s">
        <v>19</v>
      </c>
      <c r="W66" t="s">
        <v>19</v>
      </c>
      <c r="X66" t="s">
        <v>19</v>
      </c>
    </row>
    <row r="67" spans="1:24">
      <c r="A67" t="s">
        <v>387</v>
      </c>
      <c r="B67" t="s">
        <v>221</v>
      </c>
      <c r="C67" t="s">
        <v>358</v>
      </c>
      <c r="D67" t="s">
        <v>352</v>
      </c>
      <c r="E67" t="s">
        <v>330</v>
      </c>
      <c r="F67" t="s">
        <v>19</v>
      </c>
      <c r="G67" s="5" t="s">
        <v>315</v>
      </c>
      <c r="H67" s="5" t="str">
        <f>HYPERLINK("http://www.lghausys.co.kr/popup/rn/download/downloadPopup.jsp?from=plwindow&amp;uu=/upload/window/DOCUMENT/SECTION-S3-125T.dwg","다운로드")</f>
        <v>다운로드</v>
      </c>
      <c r="I67" s="5" t="str">
        <f>HYPERLINK("http://www.lghausys.co.kr/popup/rn/download/downloadPopup.jsp?from=plwindow&amp;uu=/upload/window/DOCUMENT/FRONT-S3-125T.dwg","다운로드")</f>
        <v>다운로드</v>
      </c>
      <c r="J67" s="5" t="str">
        <f>HYPERLINK("http://www.lghausys.co.kr/popup/rn/download/downloadPopup.jsp?from=plwindow&amp;uu=/upload/window/DOCUMENT/INSTALL-S3-125T.dwg","다운로드")</f>
        <v>다운로드</v>
      </c>
      <c r="K67" s="5" t="str">
        <f>HYPERLINK("http://www.lghausys.co.kr/popup/rn/download/downloadPopup.jsp?from=plwindow&amp;uu=/upload/window/DOCUMENT/SECTION-S3-125T.pdf","다운로드")</f>
        <v>다운로드</v>
      </c>
      <c r="L67" s="23" t="str">
        <f>HYPERLINK("http://www.lghausys.co.kr/popup/rn/download/downloadPopup.jsp?from=plwindow&amp;uu=/upload/window/DOCUMENT/FRONT-S3-125T.pdf","다운로드")</f>
        <v>다운로드</v>
      </c>
      <c r="M67" s="5" t="str">
        <f>HYPERLINK("http://www.lghausys.co.kr/popup/rn/download/downloadPopup.jsp?from=plwindow&amp;uu=/upload/window/DOCUMENT/INSTALL-S3-125T.pdf","다운로드")</f>
        <v>다운로드</v>
      </c>
      <c r="N67" s="5" t="str">
        <f>HYPERLINK("http://www.lghausys.co.kr/popup/rn/download/downloadPopup.jsp?from=plwindow&amp;uu=/upload/window/INFO/INTRO-SUPERSave3TransomFacade.pdf","다운로드")</f>
        <v>다운로드</v>
      </c>
      <c r="O67" s="5" t="s">
        <v>19</v>
      </c>
      <c r="P67" s="5" t="s">
        <v>19</v>
      </c>
      <c r="Q67" s="5" t="s">
        <v>19</v>
      </c>
      <c r="R67" s="5" t="str">
        <f>HYPERLINK("http://www.lghausys.co.kr/popup/rn/download/downloadPopup.jsp?from=plwindow&amp;uu=/upload/window/DOCUMENT/GUIDE-S3-125T.hwp","다운로드")</f>
        <v>다운로드</v>
      </c>
      <c r="S67" s="5" t="s">
        <v>19</v>
      </c>
      <c r="T67" t="s">
        <v>19</v>
      </c>
      <c r="U67" t="s">
        <v>19</v>
      </c>
      <c r="V67" t="s">
        <v>19</v>
      </c>
      <c r="W67" t="s">
        <v>19</v>
      </c>
      <c r="X67" t="s">
        <v>19</v>
      </c>
    </row>
    <row r="68" spans="1:24">
      <c r="A68" t="s">
        <v>388</v>
      </c>
      <c r="B68" t="s">
        <v>250</v>
      </c>
      <c r="C68" t="s">
        <v>358</v>
      </c>
      <c r="D68" t="s">
        <v>389</v>
      </c>
      <c r="E68" t="s">
        <v>330</v>
      </c>
      <c r="F68" t="s">
        <v>330</v>
      </c>
      <c r="G68" s="5" t="s">
        <v>315</v>
      </c>
      <c r="H68" s="5" t="s">
        <v>19</v>
      </c>
      <c r="I68" s="5" t="s">
        <v>19</v>
      </c>
      <c r="J68" s="5" t="s">
        <v>19</v>
      </c>
      <c r="K68" s="5" t="s">
        <v>19</v>
      </c>
      <c r="L68" s="23" t="s">
        <v>19</v>
      </c>
      <c r="M68" s="5" t="s">
        <v>19</v>
      </c>
      <c r="N68" s="5" t="s">
        <v>19</v>
      </c>
      <c r="O68" s="5" t="s">
        <v>19</v>
      </c>
      <c r="P68" s="5" t="s">
        <v>19</v>
      </c>
      <c r="Q68" s="5" t="s">
        <v>19</v>
      </c>
      <c r="R68" s="5" t="s">
        <v>19</v>
      </c>
      <c r="S68" s="5" t="s">
        <v>19</v>
      </c>
      <c r="T68" t="s">
        <v>19</v>
      </c>
      <c r="U68" t="s">
        <v>19</v>
      </c>
      <c r="V68" t="s">
        <v>19</v>
      </c>
      <c r="W68" t="s">
        <v>19</v>
      </c>
      <c r="X68" t="s">
        <v>19</v>
      </c>
    </row>
    <row r="69" spans="1:24">
      <c r="A69" t="s">
        <v>390</v>
      </c>
      <c r="B69" t="s">
        <v>252</v>
      </c>
      <c r="C69" t="s">
        <v>358</v>
      </c>
      <c r="D69" t="s">
        <v>389</v>
      </c>
      <c r="E69" t="s">
        <v>330</v>
      </c>
      <c r="F69" t="s">
        <v>330</v>
      </c>
      <c r="G69" s="5" t="s">
        <v>315</v>
      </c>
      <c r="H69" s="5" t="s">
        <v>19</v>
      </c>
      <c r="I69" s="5" t="s">
        <v>19</v>
      </c>
      <c r="J69" s="5" t="s">
        <v>19</v>
      </c>
      <c r="K69" s="5" t="s">
        <v>19</v>
      </c>
      <c r="L69" s="23" t="s">
        <v>19</v>
      </c>
      <c r="M69" s="5" t="s">
        <v>19</v>
      </c>
      <c r="N69" s="5" t="s">
        <v>19</v>
      </c>
      <c r="O69" s="5" t="s">
        <v>19</v>
      </c>
      <c r="P69" s="5" t="s">
        <v>19</v>
      </c>
      <c r="Q69" s="5" t="s">
        <v>19</v>
      </c>
      <c r="R69" s="5" t="s">
        <v>19</v>
      </c>
      <c r="S69" s="5" t="s">
        <v>19</v>
      </c>
      <c r="T69" t="s">
        <v>19</v>
      </c>
      <c r="U69" t="s">
        <v>19</v>
      </c>
      <c r="V69" t="s">
        <v>19</v>
      </c>
      <c r="W69" t="s">
        <v>19</v>
      </c>
      <c r="X69" t="s">
        <v>19</v>
      </c>
    </row>
    <row r="70" spans="1:24">
      <c r="A70" t="s">
        <v>391</v>
      </c>
      <c r="B70" t="s">
        <v>139</v>
      </c>
      <c r="C70" t="s">
        <v>358</v>
      </c>
      <c r="D70" t="s">
        <v>389</v>
      </c>
      <c r="E70" t="s">
        <v>330</v>
      </c>
      <c r="F70" t="s">
        <v>330</v>
      </c>
      <c r="G70" s="5" t="s">
        <v>315</v>
      </c>
      <c r="H70" s="5" t="str">
        <f>HYPERLINK("http://www.lghausys.co.kr/popup/rn/download/downloadPopup.jsp?from=plwindow&amp;uu=/upload/window/DOCUMENT/SECTION-S5-250GH.dwg","다운로드")</f>
        <v>다운로드</v>
      </c>
      <c r="I70" s="5" t="str">
        <f>HYPERLINK("http://www.lghausys.co.kr/popup/rn/download/downloadPopup.jsp?from=plwindow&amp;uu=/upload/window/DOCUMENT/FRONT-S5-250GH.dwg","다운로드")</f>
        <v>다운로드</v>
      </c>
      <c r="J70" s="5" t="str">
        <f>HYPERLINK("http://www.lghausys.co.kr/popup/rn/download/downloadPopup.jsp?from=plwindow&amp;uu=/upload/window/DOCUMENT/INSTALL-S5-250GH.dwg","다운로드")</f>
        <v>다운로드</v>
      </c>
      <c r="K70" s="5" t="str">
        <f>HYPERLINK("http://www.lghausys.co.kr/popup/rn/download/downloadPopup.jsp?from=plwindow&amp;uu=/upload/window/DOCUMENT/SECTION-S5-250GH.pdf","다운로드")</f>
        <v>다운로드</v>
      </c>
      <c r="L70" s="23" t="str">
        <f>HYPERLINK("http://www.lghausys.co.kr/popup/rn/download/downloadPopup.jsp?from=plwindow&amp;uu=/upload/window/DOCUMENT/FRONT-S5-250GH.pdf","다운로드")</f>
        <v>다운로드</v>
      </c>
      <c r="M70" s="5" t="str">
        <f>HYPERLINK("http://www.lghausys.co.kr/popup/rn/download/downloadPopup.jsp?from=plwindow&amp;uu=/upload/window/DOCUMENT/INSTALL-S5-250GH.pdf","다운로드")</f>
        <v>다운로드</v>
      </c>
      <c r="N70" s="5" t="str">
        <f>HYPERLINK("http://www.lghausys.co.kr/popup/rn/download/downloadPopup.jsp?from=plwindow&amp;uu=/upload/window/INFO/INTRO-SUPERSave5GlassHandrail.pdf","다운로드")</f>
        <v>다운로드</v>
      </c>
      <c r="O70" s="5" t="s">
        <v>19</v>
      </c>
      <c r="P70" s="5" t="s">
        <v>19</v>
      </c>
      <c r="Q70" s="5" t="s">
        <v>19</v>
      </c>
      <c r="R70" s="5" t="str">
        <f>HYPERLINK("http://www.lghausys.co.kr/popup/rn/download/downloadPopup.jsp?from=plwindow&amp;uu=/upload/window/DOCUMENT/GUIDE-S5-250GH.hwp","다운로드")</f>
        <v>다운로드</v>
      </c>
      <c r="S70" s="5" t="str">
        <f>HYPERLINK("http://www.lghausys.co.kr/popup/rn/download/downloadPopup.jsp?from=plwindow&amp;uu=/upload/window/INFO/HELP-SUPERSave5GlassHandrail.pdf","다운로드")</f>
        <v>다운로드</v>
      </c>
      <c r="T70" t="str">
        <f>HYPERLINK("http://www.lghausys.co.kr/popup/rn/download/downloadPopup.jsp?from=plwindow&amp;uu=/upload/window/DOCUMENT/WINDMAX-S5-250GH.pdf","다운로드")</f>
        <v>다운로드</v>
      </c>
      <c r="U70" t="str">
        <f>HYPERLINK("http://www.lghausys.co.kr/popup/rn/download/downloadPopup.jsp?from=plwindow&amp;uu=/upload/window/DOCUMENT/WIND20-S5-250GH.pdf","다운로드")</f>
        <v>다운로드</v>
      </c>
      <c r="V70" t="str">
        <f>HYPERLINK("http://www.lghausys.co.kr/popup/rn/download/downloadPopup.jsp?from=plwindow&amp;uu=/upload/window/DOCUMENT/WIND15-S5-250GH.pdf","다운로드")</f>
        <v>다운로드</v>
      </c>
      <c r="W70" t="str">
        <f>HYPERLINK("http://www.lghausys.co.kr/popup/rn/download/downloadPopup.jsp?from=plwindow&amp;uu=/upload/window/DOCUMENT/WIND10-S5-250GH.pdf","다운로드")</f>
        <v>다운로드</v>
      </c>
      <c r="X70" t="str">
        <f>HYPERLINK("http://www.lghausys.co.kr/popup/rn/download/downloadPopup.jsp?from=plwindow&amp;uu=/upload/window/DOCUMENT/WIND05-S5-250GH.pdf","다운로드")</f>
        <v>다운로드</v>
      </c>
    </row>
    <row r="71" spans="1:24">
      <c r="A71" t="s">
        <v>392</v>
      </c>
      <c r="B71" t="s">
        <v>127</v>
      </c>
      <c r="C71" t="s">
        <v>358</v>
      </c>
      <c r="D71" t="s">
        <v>389</v>
      </c>
      <c r="E71" t="s">
        <v>330</v>
      </c>
      <c r="F71" t="s">
        <v>19</v>
      </c>
      <c r="G71" s="5" t="s">
        <v>315</v>
      </c>
      <c r="H71" s="5" t="str">
        <f>HYPERLINK("http://www.lghausys.co.kr/popup/rn/download/downloadPopup.jsp?from=plwindow&amp;uu=/upload/window/DOCUMENT/SECTION-S5-140GH.dwg","다운로드")</f>
        <v>다운로드</v>
      </c>
      <c r="I71" s="5" t="str">
        <f>HYPERLINK("http://www.lghausys.co.kr/popup/rn/download/downloadPopup.jsp?from=plwindow&amp;uu=/upload/window/DOCUMENT/FRONT-S5-140GH.dwg","다운로드")</f>
        <v>다운로드</v>
      </c>
      <c r="J71" s="5" t="str">
        <f>HYPERLINK("http://www.lghausys.co.kr/popup/rn/download/downloadPopup.jsp?from=plwindow&amp;uu=/upload/window/DOCUMENT/INSTALL-S5-140GH.dwg","다운로드")</f>
        <v>다운로드</v>
      </c>
      <c r="K71" s="5" t="str">
        <f>HYPERLINK("http://www.lghausys.co.kr/popup/rn/download/downloadPopup.jsp?from=plwindow&amp;uu=/upload/window/DOCUMENT/SECTION-S5-140GH.pdf","다운로드")</f>
        <v>다운로드</v>
      </c>
      <c r="L71" s="23" t="str">
        <f>HYPERLINK("http://www.lghausys.co.kr/popup/rn/download/downloadPopup.jsp?from=plwindow&amp;uu=/upload/window/DOCUMENT/FRONT-S5-140GH.pdf","다운로드")</f>
        <v>다운로드</v>
      </c>
      <c r="M71" s="5" t="str">
        <f>HYPERLINK("http://www.lghausys.co.kr/popup/rn/download/downloadPopup.jsp?from=plwindow&amp;uu=/upload/window/DOCUMENT/INSTALL-S5-140GH.pdf","다운로드")</f>
        <v>다운로드</v>
      </c>
      <c r="N71" s="5" t="str">
        <f>HYPERLINK("http://www.lghausys.co.kr/popup/rn/download/downloadPopup.jsp?from=plwindow&amp;uu=/upload/window/INFO/INTRO-SUPERSave5GlassHandrail.pdf","다운로드")</f>
        <v>다운로드</v>
      </c>
      <c r="O71" s="5" t="s">
        <v>19</v>
      </c>
      <c r="P71" s="5" t="s">
        <v>19</v>
      </c>
      <c r="Q71" s="5" t="s">
        <v>19</v>
      </c>
      <c r="R71" s="5" t="str">
        <f>HYPERLINK("http://www.lghausys.co.kr/popup/rn/download/downloadPopup.jsp?from=plwindow&amp;uu=/upload/window/DOCUMENT/GUIDE-S5-140GH.hwp","다운로드")</f>
        <v>다운로드</v>
      </c>
      <c r="S71" s="5" t="str">
        <f>HYPERLINK("http://www.lghausys.co.kr/popup/rn/download/downloadPopup.jsp?from=plwindow&amp;uu=/upload/window/INFO/HELP-SUPERSave5GlassHandrail.pdf","다운로드")</f>
        <v>다운로드</v>
      </c>
      <c r="T71" t="str">
        <f>HYPERLINK("http://www.lghausys.co.kr/popup/rn/download/downloadPopup.jsp?from=plwindow&amp;uu=/upload/window/DOCUMENT/WINDMAX-S5-140GH.pdf","다운로드")</f>
        <v>다운로드</v>
      </c>
      <c r="U71" t="str">
        <f>HYPERLINK("http://www.lghausys.co.kr/popup/rn/download/downloadPopup.jsp?from=plwindow&amp;uu=/upload/window/DOCUMENT/WIND20-S5-140GH.pdf","다운로드")</f>
        <v>다운로드</v>
      </c>
      <c r="V71" t="str">
        <f>HYPERLINK("http://www.lghausys.co.kr/popup/rn/download/downloadPopup.jsp?from=plwindow&amp;uu=/upload/window/DOCUMENT/WIND15-S5-140GH.pdf","다운로드")</f>
        <v>다운로드</v>
      </c>
      <c r="W71" t="str">
        <f>HYPERLINK("http://www.lghausys.co.kr/popup/rn/download/downloadPopup.jsp?from=plwindow&amp;uu=/upload/window/DOCUMENT/WIND10-S5-140GH.pdf","다운로드")</f>
        <v>다운로드</v>
      </c>
      <c r="X71" t="str">
        <f>HYPERLINK("http://www.lghausys.co.kr/popup/rn/download/downloadPopup.jsp?from=plwindow&amp;uu=/upload/window/DOCUMENT/WIND05-S5-140GH.pdf","다운로드")</f>
        <v>다운로드</v>
      </c>
    </row>
    <row r="72" spans="1:24">
      <c r="A72" t="s">
        <v>393</v>
      </c>
      <c r="B72" t="s">
        <v>281</v>
      </c>
      <c r="C72" t="s">
        <v>358</v>
      </c>
      <c r="D72" t="s">
        <v>389</v>
      </c>
      <c r="E72" t="s">
        <v>330</v>
      </c>
      <c r="F72" t="s">
        <v>330</v>
      </c>
      <c r="G72" s="5" t="s">
        <v>315</v>
      </c>
      <c r="H72" s="5" t="str">
        <f>HYPERLINK("http://www.lghausys.co.kr/popup/rn/download/downloadPopup.jsp?from=plwindow&amp;uu=/upload/window/DOCUMENT/SECTION-S3-250GH.dwg","다운로드")</f>
        <v>다운로드</v>
      </c>
      <c r="I72" s="5" t="str">
        <f>HYPERLINK("http://www.lghausys.co.kr/popup/rn/download/downloadPopup.jsp?from=plwindow&amp;uu=/upload/window/DOCUMENT/FRONT-S3-250GH.dwg","다운로드")</f>
        <v>다운로드</v>
      </c>
      <c r="J72" s="5" t="str">
        <f>HYPERLINK("http://www.lghausys.co.kr/popup/rn/download/downloadPopup.jsp?from=plwindow&amp;uu=/upload/window/DOCUMENT/INSTALL-S3-250GH.dwg","다운로드")</f>
        <v>다운로드</v>
      </c>
      <c r="K72" s="5" t="str">
        <f>HYPERLINK("http://www.lghausys.co.kr/popup/rn/download/downloadPopup.jsp?from=plwindow&amp;uu=/upload/window/DOCUMENT/SECTION-S3-250GH.pdf","다운로드")</f>
        <v>다운로드</v>
      </c>
      <c r="L72" s="23" t="str">
        <f>HYPERLINK("http://www.lghausys.co.kr/popup/rn/download/downloadPopup.jsp?from=plwindow&amp;uu=/upload/window/DOCUMENT/FRONT-S3-250GH.pdf","다운로드")</f>
        <v>다운로드</v>
      </c>
      <c r="M72" s="5" t="str">
        <f>HYPERLINK("http://www.lghausys.co.kr/popup/rn/download/downloadPopup.jsp?from=plwindow&amp;uu=/upload/window/DOCUMENT/INSTALL-S3-250GH.pdf","다운로드")</f>
        <v>다운로드</v>
      </c>
      <c r="N72" s="5" t="s">
        <v>19</v>
      </c>
      <c r="O72" s="5" t="s">
        <v>19</v>
      </c>
      <c r="P72" s="5" t="s">
        <v>19</v>
      </c>
      <c r="Q72" s="5" t="s">
        <v>19</v>
      </c>
      <c r="R72" s="5" t="str">
        <f>HYPERLINK("http://www.lghausys.co.kr/popup/rn/download/downloadPopup.jsp?from=plwindow&amp;uu=/upload/window/DOCUMENT/GUIDE-S3-250GH.hwp","다운로드")</f>
        <v>다운로드</v>
      </c>
      <c r="S72" s="5" t="s">
        <v>19</v>
      </c>
      <c r="T72" t="s">
        <v>19</v>
      </c>
      <c r="U72" t="s">
        <v>19</v>
      </c>
      <c r="V72" t="s">
        <v>19</v>
      </c>
      <c r="W72" t="s">
        <v>19</v>
      </c>
      <c r="X72" t="s">
        <v>19</v>
      </c>
    </row>
    <row r="73" spans="1:24">
      <c r="A73" t="s">
        <v>394</v>
      </c>
      <c r="B73" t="s">
        <v>395</v>
      </c>
      <c r="C73" t="s">
        <v>358</v>
      </c>
      <c r="D73" t="s">
        <v>389</v>
      </c>
      <c r="E73" t="s">
        <v>330</v>
      </c>
      <c r="F73" t="s">
        <v>19</v>
      </c>
      <c r="G73" s="5" t="s">
        <v>315</v>
      </c>
      <c r="H73" s="5" t="str">
        <f>HYPERLINK("http://www.lghausys.co.kr/popup/rn/download/downloadPopup.jsp?from=plwindow&amp;uu=/upload/window/DOCUMENT/SECTION-S3-125GH.dwg","다운로드")</f>
        <v>다운로드</v>
      </c>
      <c r="I73" s="5" t="str">
        <f>HYPERLINK("http://www.lghausys.co.kr/popup/rn/download/downloadPopup.jsp?from=plwindow&amp;uu=/upload/window/DOCUMENT/FRONT-S3-125GH.dwg","다운로드")</f>
        <v>다운로드</v>
      </c>
      <c r="J73" s="5" t="str">
        <f>HYPERLINK("http://www.lghausys.co.kr/popup/rn/download/downloadPopup.jsp?from=plwindow&amp;uu=/upload/window/DOCUMENT/INSTALL-S3-125GH.dwg","다운로드")</f>
        <v>다운로드</v>
      </c>
      <c r="K73" s="5" t="str">
        <f>HYPERLINK("http://www.lghausys.co.kr/popup/rn/download/downloadPopup.jsp?from=plwindow&amp;uu=/upload/window/DOCUMENT/SECTION-S3-125GH.pdf","다운로드")</f>
        <v>다운로드</v>
      </c>
      <c r="L73" s="23" t="str">
        <f>HYPERLINK("http://www.lghausys.co.kr/popup/rn/download/downloadPopup.jsp?from=plwindow&amp;uu=/upload/window/DOCUMENT/FRONT-S3-125GH.pdf","다운로드")</f>
        <v>다운로드</v>
      </c>
      <c r="M73" s="5" t="str">
        <f>HYPERLINK("http://www.lghausys.co.kr/popup/rn/download/downloadPopup.jsp?from=plwindow&amp;uu=/upload/window/DOCUMENT/INSTALL-S3-125GH.pdf","다운로드")</f>
        <v>다운로드</v>
      </c>
      <c r="N73" s="5" t="s">
        <v>19</v>
      </c>
      <c r="O73" s="5" t="s">
        <v>19</v>
      </c>
      <c r="P73" s="5" t="s">
        <v>19</v>
      </c>
      <c r="Q73" s="5" t="s">
        <v>19</v>
      </c>
      <c r="R73" s="5" t="str">
        <f>HYPERLINK("http://www.lghausys.co.kr/popup/rn/download/downloadPopup.jsp?from=plwindow&amp;uu=/upload/window/DOCUMENT/GUIDE-S3-125GH.hwp","다운로드")</f>
        <v>다운로드</v>
      </c>
      <c r="S73" s="5" t="s">
        <v>19</v>
      </c>
      <c r="T73" t="s">
        <v>19</v>
      </c>
      <c r="U73" t="s">
        <v>19</v>
      </c>
      <c r="V73" t="s">
        <v>19</v>
      </c>
      <c r="W73" t="s">
        <v>19</v>
      </c>
      <c r="X73" t="s">
        <v>19</v>
      </c>
    </row>
    <row r="74" spans="1:24">
      <c r="A74" t="s">
        <v>396</v>
      </c>
      <c r="B74" t="s">
        <v>397</v>
      </c>
      <c r="C74" t="s">
        <v>375</v>
      </c>
      <c r="D74" t="s">
        <v>398</v>
      </c>
      <c r="E74" t="s">
        <v>330</v>
      </c>
      <c r="F74" t="s">
        <v>19</v>
      </c>
      <c r="G74" s="5" t="s">
        <v>317</v>
      </c>
      <c r="H74" s="5" t="str">
        <f>HYPERLINK("http://www.lghausys.co.kr/popup/rn/download/downloadPopup.jsp?from=plwindow&amp;uu=/upload/window/DOCUMENT/SECTION-P-125GHT.dwg","다운로드")</f>
        <v>다운로드</v>
      </c>
      <c r="I74" s="5" t="str">
        <f>HYPERLINK("http://www.lghausys.co.kr/popup/rn/download/downloadPopup.jsp?from=plwindow&amp;uu=/upload/window/DOCUMENT/FRONT-P-125GHT.dwg","다운로드")</f>
        <v>다운로드</v>
      </c>
      <c r="J74" s="5" t="str">
        <f>HYPERLINK("http://www.lghausys.co.kr/popup/rn/download/downloadPopup.jsp?from=plwindow&amp;uu=/upload/window/DOCUMENT/INSTALL-P-125GHT.dwg","다운로드")</f>
        <v>다운로드</v>
      </c>
      <c r="K74" s="5" t="str">
        <f>HYPERLINK("http://www.lghausys.co.kr/popup/rn/download/downloadPopup.jsp?from=plwindow&amp;uu=/upload/window/DOCUMENT/SECTION-P-125GHT.pdf","다운로드")</f>
        <v>다운로드</v>
      </c>
      <c r="L74" s="23" t="str">
        <f>HYPERLINK("http://www.lghausys.co.kr/popup/rn/download/downloadPopup.jsp?from=plwindow&amp;uu=/upload/window/DOCUMENT/FRONT-P-125GHT.pdf","다운로드")</f>
        <v>다운로드</v>
      </c>
      <c r="M74" s="5" t="str">
        <f>HYPERLINK("http://www.lghausys.co.kr/popup/rn/download/downloadPopup.jsp?from=plwindow&amp;uu=/upload/window/DOCUMENT/INSTALL-P-125GHT.pdf","다운로드")</f>
        <v>다운로드</v>
      </c>
      <c r="N74" s="5" t="str">
        <f>HYPERLINK("http://www.lghausys.co.kr/popup/rn/download/downloadPopup.jsp?from=plwindow&amp;uu=/upload/window/INFO/INTRO-POWERSaveGlassHandrailTransom.pdf","다운로드")</f>
        <v>다운로드</v>
      </c>
      <c r="O74" s="5" t="s">
        <v>19</v>
      </c>
      <c r="P74" s="5" t="s">
        <v>19</v>
      </c>
      <c r="Q74" s="5" t="s">
        <v>19</v>
      </c>
      <c r="R74" s="5" t="s">
        <v>19</v>
      </c>
      <c r="S74" s="5" t="str">
        <f>HYPERLINK("http://www.lghausys.co.kr/popup/rn/download/downloadPopup.jsp?from=plwindow&amp;uu=/upload/window/INFO/HELP-POWERSaveGlassHandrailTransom.pdf","다운로드")</f>
        <v>다운로드</v>
      </c>
      <c r="T74" t="s">
        <v>19</v>
      </c>
      <c r="U74" t="s">
        <v>19</v>
      </c>
      <c r="V74" t="s">
        <v>19</v>
      </c>
      <c r="W74" t="s">
        <v>19</v>
      </c>
      <c r="X74" t="s">
        <v>19</v>
      </c>
    </row>
    <row r="75" spans="1:24">
      <c r="A75" t="s">
        <v>399</v>
      </c>
      <c r="B75" t="s">
        <v>185</v>
      </c>
      <c r="C75" t="s">
        <v>375</v>
      </c>
      <c r="D75" t="s">
        <v>398</v>
      </c>
      <c r="E75" t="s">
        <v>330</v>
      </c>
      <c r="F75" t="s">
        <v>330</v>
      </c>
      <c r="G75" s="5" t="s">
        <v>317</v>
      </c>
      <c r="H75" s="16" t="str">
        <f>HYPERLINK("http://www.lghausys.co.kr/popup/rn/download/downloadPopup.jsp?from=plwindow&amp;uu=/upload/window/DOCUMENT/SECTION-P-250GHT.dwg","다운로드")</f>
        <v>다운로드</v>
      </c>
      <c r="I75" s="5" t="str">
        <f>HYPERLINK("http://www.lghausys.co.kr/popup/rn/download/downloadPopup.jsp?from=plwindow&amp;uu=/upload/window/DOCUMENT/FRONT-P-250GHT.dwg","다운로드")</f>
        <v>다운로드</v>
      </c>
      <c r="J75" s="5" t="str">
        <f>HYPERLINK("http://www.lghausys.co.kr/popup/rn/download/downloadPopup.jsp?from=plwindow&amp;uu=/upload/window/DOCUMENT/INSTALL-P-250GHT.dwg","다운로드")</f>
        <v>다운로드</v>
      </c>
      <c r="K75" s="5" t="str">
        <f>HYPERLINK("http://www.lghausys.co.kr/popup/rn/download/downloadPopup.jsp?from=plwindow&amp;uu=/upload/window/DOCUMENT/SECTION-P-250GHT.pdf","다운로드")</f>
        <v>다운로드</v>
      </c>
      <c r="L75" s="23" t="str">
        <f>HYPERLINK("http://www.lghausys.co.kr/popup/rn/download/downloadPopup.jsp?from=plwindow&amp;uu=/upload/window/DOCUMENT/FRONT-P-250GHT.pdf","다운로드")</f>
        <v>다운로드</v>
      </c>
      <c r="M75" s="5" t="str">
        <f>HYPERLINK("http://www.lghausys.co.kr/popup/rn/download/downloadPopup.jsp?from=plwindow&amp;uu=/upload/window/DOCUMENT/INSTALL-P-250GHT.pdf","다운로드")</f>
        <v>다운로드</v>
      </c>
      <c r="N75" s="5" t="str">
        <f>HYPERLINK("http://www.lghausys.co.kr/popup/rn/download/downloadPopup.jsp?from=plwindow&amp;uu=/upload/window/INFO/INTRO-POWERSaveGlassHandrailTransom.pdf","다운로드")</f>
        <v>다운로드</v>
      </c>
      <c r="O75" s="5" t="s">
        <v>19</v>
      </c>
      <c r="P75" s="5" t="s">
        <v>19</v>
      </c>
      <c r="Q75" s="5" t="s">
        <v>19</v>
      </c>
      <c r="R75" s="5" t="s">
        <v>19</v>
      </c>
      <c r="S75" s="5" t="str">
        <f>HYPERLINK("http://www.lghausys.co.kr/popup/rn/download/downloadPopup.jsp?from=plwindow&amp;uu=/upload/window/INFO/HELP-POWERSaveGlassHandrailTransom.pdf","다운로드")</f>
        <v>다운로드</v>
      </c>
      <c r="T75" t="s">
        <v>19</v>
      </c>
      <c r="U75" t="s">
        <v>19</v>
      </c>
      <c r="V75" t="s">
        <v>19</v>
      </c>
      <c r="W75" t="s">
        <v>19</v>
      </c>
      <c r="X75" t="s">
        <v>19</v>
      </c>
    </row>
    <row r="76" spans="1:24">
      <c r="A76" t="s">
        <v>179</v>
      </c>
      <c r="B76" t="s">
        <v>179</v>
      </c>
      <c r="C76" t="s">
        <v>371</v>
      </c>
      <c r="D76" t="s">
        <v>334</v>
      </c>
      <c r="E76" t="s">
        <v>330</v>
      </c>
      <c r="F76" t="s">
        <v>400</v>
      </c>
      <c r="G76" s="26" t="s">
        <v>313</v>
      </c>
      <c r="H76" s="26" t="s">
        <v>19</v>
      </c>
      <c r="I76" s="26" t="s">
        <v>19</v>
      </c>
      <c r="J76" s="26" t="s">
        <v>19</v>
      </c>
      <c r="K76" s="26" t="s">
        <v>19</v>
      </c>
      <c r="L76" s="38" t="s">
        <v>19</v>
      </c>
      <c r="M76" s="26" t="s">
        <v>19</v>
      </c>
      <c r="N76" s="26" t="str">
        <f>HYPERLINK("http://www.lghausys.co.kr/popup/rn/download/downloadPopup.jsp?from=plwindow&amp;uu=/upload/window/INFO/INTRO-Hansilchang.pdf","다운로드")</f>
        <v>다운로드</v>
      </c>
      <c r="O76" s="26" t="s">
        <v>19</v>
      </c>
      <c r="P76" s="26" t="s">
        <v>19</v>
      </c>
      <c r="Q76" s="26" t="s">
        <v>19</v>
      </c>
      <c r="R76" s="26" t="s">
        <v>19</v>
      </c>
      <c r="S76" t="str">
        <f>HYPERLINK("http://www.lghausys.co.kr/popup/rn/download/downloadPopup.jsp?from=plwindow&amp;uu=/upload/window/INFO/HELP-Hansilchang.pdf","다운로드")</f>
        <v>다운로드</v>
      </c>
      <c r="T76" t="s">
        <v>19</v>
      </c>
      <c r="U76" t="s">
        <v>19</v>
      </c>
      <c r="V76" t="s">
        <v>19</v>
      </c>
      <c r="W76" t="s">
        <v>19</v>
      </c>
      <c r="X76" t="s">
        <v>19</v>
      </c>
    </row>
    <row r="77" spans="1:24" s="26" customFormat="1">
      <c r="A77" s="25" t="s">
        <v>1366</v>
      </c>
      <c r="B77" s="25" t="s">
        <v>686</v>
      </c>
      <c r="C77" s="25" t="s">
        <v>358</v>
      </c>
      <c r="D77" s="25" t="s">
        <v>334</v>
      </c>
      <c r="E77" s="25" t="s">
        <v>330</v>
      </c>
      <c r="F77" s="25" t="s">
        <v>19</v>
      </c>
      <c r="G77" s="5" t="s">
        <v>1405</v>
      </c>
      <c r="H77" s="37" t="str">
        <f>HYPERLINK("http://www.lghausys.co.kr/popup/rn/download/downloadPopup.jsp?from=plwindow&amp;uu=/upload/window/DOCUMENT/SECTION-F-140.dwg","다운로드")</f>
        <v>다운로드</v>
      </c>
      <c r="I77" s="37" t="str">
        <f>HYPERLINK("http://www.lghausys.co.kr/popup/rn/download/downloadPopup.jsp?from=plwindow&amp;uu=/upload/window/DOCUMENT/FRONT-F-140.dwg","다운로드")</f>
        <v>다운로드</v>
      </c>
      <c r="J77" s="38" t="s">
        <v>19</v>
      </c>
      <c r="K77" s="37" t="str">
        <f>HYPERLINK("http://www.lghausys.co.kr/popup/rn/download/downloadPopup.jsp?from=plwindow&amp;uu=/upload/window/DOCUMENT/SECTION-F-140.pdf","다운로드")</f>
        <v>다운로드</v>
      </c>
      <c r="L77" s="37" t="str">
        <f>HYPERLINK("http://www.lghausys.co.kr/popup/rn/download/downloadPopup.jsp?from=plwindow&amp;uu=/upload/window/DOCUMENT/FRONT-F-140.pdf","다운로드")</f>
        <v>다운로드</v>
      </c>
      <c r="M77" s="38" t="s">
        <v>19</v>
      </c>
      <c r="N77" s="38" t="s">
        <v>19</v>
      </c>
      <c r="O77" s="38" t="s">
        <v>19</v>
      </c>
      <c r="P77" s="22" t="s">
        <v>1421</v>
      </c>
      <c r="Q77" s="38" t="s">
        <v>19</v>
      </c>
      <c r="R77" s="38" t="s">
        <v>19</v>
      </c>
    </row>
    <row r="78" spans="1:24" s="26" customFormat="1">
      <c r="A78" s="25" t="s">
        <v>1368</v>
      </c>
      <c r="B78" s="25" t="s">
        <v>689</v>
      </c>
      <c r="C78" s="25" t="s">
        <v>358</v>
      </c>
      <c r="D78" s="25" t="s">
        <v>334</v>
      </c>
      <c r="E78" s="25" t="s">
        <v>330</v>
      </c>
      <c r="F78" s="25" t="s">
        <v>19</v>
      </c>
      <c r="G78" s="5" t="s">
        <v>1405</v>
      </c>
      <c r="H78" s="37" t="str">
        <f>HYPERLINK("http://www.lghausys.co.kr/popup/rn/download/downloadPopup.jsp?from=plwindow&amp;uu=/upload/window/DOCUMENT/SECTION-F-145.dwg","다운로드")</f>
        <v>다운로드</v>
      </c>
      <c r="I78" s="37" t="str">
        <f>HYPERLINK("http://www.lghausys.co.kr/popup/rn/download/downloadPopup.jsp?from=plwindow&amp;uu=/upload/window/DOCUMENT/FRONT-F-145.dwg","다운로드")</f>
        <v>다운로드</v>
      </c>
      <c r="J78" s="38" t="s">
        <v>19</v>
      </c>
      <c r="K78" s="37" t="str">
        <f>HYPERLINK("http://www.lghausys.co.kr/popup/rn/download/downloadPopup.jsp?from=plwindow&amp;uu=/upload/window/DOCUMENT/SECTION-F-145.pdf","다운로드")</f>
        <v>다운로드</v>
      </c>
      <c r="L78" s="37" t="str">
        <f>HYPERLINK("http://www.lghausys.co.kr/popup/rn/download/downloadPopup.jsp?from=plwindow&amp;uu=/upload/window/DOCUMENT/FRONT-F-145.pdf","다운로드")</f>
        <v>다운로드</v>
      </c>
      <c r="M78" s="38" t="s">
        <v>19</v>
      </c>
      <c r="N78" s="38" t="s">
        <v>19</v>
      </c>
      <c r="O78" s="38" t="s">
        <v>19</v>
      </c>
      <c r="P78" s="22" t="s">
        <v>1421</v>
      </c>
      <c r="Q78" s="38" t="s">
        <v>19</v>
      </c>
      <c r="R78" s="38" t="s">
        <v>19</v>
      </c>
    </row>
    <row r="79" spans="1:24" s="26" customFormat="1">
      <c r="A79" s="25" t="s">
        <v>1370</v>
      </c>
      <c r="B79" s="25" t="s">
        <v>685</v>
      </c>
      <c r="C79" s="25" t="s">
        <v>358</v>
      </c>
      <c r="D79" s="25" t="s">
        <v>334</v>
      </c>
      <c r="E79" s="25" t="s">
        <v>330</v>
      </c>
      <c r="F79" s="25" t="s">
        <v>330</v>
      </c>
      <c r="G79" s="5" t="s">
        <v>1405</v>
      </c>
      <c r="H79" s="37" t="str">
        <f>HYPERLINK("http://www.lghausys.co.kr/popup/rn/download/downloadPopup.jsp?from=plwindow&amp;uu=/upload/window/DOCUMENT/SECTION-F-250.dwg","다운로드")</f>
        <v>다운로드</v>
      </c>
      <c r="I79" s="37" t="str">
        <f>HYPERLINK("http://www.lghausys.co.kr/popup/rn/download/downloadPopup.jsp?from=plwindow&amp;uu=/upload/window/DOCUMENT/FRONT-F-250.dwg","다운로드")</f>
        <v>다운로드</v>
      </c>
      <c r="J79" s="38" t="s">
        <v>19</v>
      </c>
      <c r="K79" s="37" t="str">
        <f>HYPERLINK("http://www.lghausys.co.kr/popup/rn/download/downloadPopup.jsp?from=plwindow&amp;uu=/upload/window/DOCUMENT/SECTION-F-250.pdf","다운로드")</f>
        <v>다운로드</v>
      </c>
      <c r="L79" s="37" t="str">
        <f>HYPERLINK("http://www.lghausys.co.kr/popup/rn/download/downloadPopup.jsp?from=plwindow&amp;uu=/upload/window/DOCUMENT/FRONT-F-250.pdf","다운로드")</f>
        <v>다운로드</v>
      </c>
      <c r="M79" s="38" t="s">
        <v>19</v>
      </c>
      <c r="N79" s="38" t="s">
        <v>19</v>
      </c>
      <c r="O79" s="38" t="s">
        <v>19</v>
      </c>
      <c r="P79" s="22" t="s">
        <v>1421</v>
      </c>
      <c r="Q79" s="38" t="s">
        <v>19</v>
      </c>
      <c r="R79" s="38" t="s">
        <v>19</v>
      </c>
    </row>
    <row r="80" spans="1:24" s="26" customFormat="1">
      <c r="A80" s="25" t="s">
        <v>1372</v>
      </c>
      <c r="B80" s="25" t="s">
        <v>687</v>
      </c>
      <c r="C80" s="25" t="s">
        <v>358</v>
      </c>
      <c r="D80" s="25" t="s">
        <v>334</v>
      </c>
      <c r="E80" s="25" t="s">
        <v>330</v>
      </c>
      <c r="F80" s="25" t="s">
        <v>330</v>
      </c>
      <c r="G80" s="5" t="s">
        <v>1405</v>
      </c>
      <c r="H80" s="37" t="str">
        <f>HYPERLINK("http://www.lghausys.co.kr/popup/rn/download/downloadPopup.jsp?from=plwindow&amp;uu=/upload/window/DOCUMENT/SECTION-F-265.dwg","다운로드")</f>
        <v>다운로드</v>
      </c>
      <c r="I80" s="37" t="str">
        <f>HYPERLINK("http://www.lghausys.co.kr/popup/rn/download/downloadPopup.jsp?from=plwindow&amp;uu=/upload/window/DOCUMENT/FRONT-F-265.dwg","다운로드")</f>
        <v>다운로드</v>
      </c>
      <c r="J80" s="38" t="s">
        <v>19</v>
      </c>
      <c r="K80" s="37" t="str">
        <f>HYPERLINK("http://www.lghausys.co.kr/popup/rn/download/downloadPopup.jsp?from=plwindow&amp;uu=/upload/window/DOCUMENT/SECTION-F-265.pdf","다운로드")</f>
        <v>다운로드</v>
      </c>
      <c r="L80" s="37" t="str">
        <f>HYPERLINK("http://www.lghausys.co.kr/popup/rn/download/downloadPopup.jsp?from=plwindow&amp;uu=/upload/window/DOCUMENT/FRONT-F-265.pdf","다운로드")</f>
        <v>다운로드</v>
      </c>
      <c r="M80" s="38" t="s">
        <v>19</v>
      </c>
      <c r="N80" s="38" t="s">
        <v>19</v>
      </c>
      <c r="O80" s="38" t="s">
        <v>19</v>
      </c>
      <c r="P80" s="22" t="s">
        <v>1421</v>
      </c>
      <c r="Q80" s="38" t="s">
        <v>19</v>
      </c>
      <c r="R80" s="38" t="s">
        <v>19</v>
      </c>
    </row>
    <row r="81" spans="1:18" s="26" customFormat="1">
      <c r="A81" s="25" t="s">
        <v>1374</v>
      </c>
      <c r="B81" s="25" t="s">
        <v>682</v>
      </c>
      <c r="C81" s="25" t="s">
        <v>358</v>
      </c>
      <c r="D81" s="25" t="s">
        <v>334</v>
      </c>
      <c r="E81" s="25" t="s">
        <v>330</v>
      </c>
      <c r="F81" s="25" t="s">
        <v>330</v>
      </c>
      <c r="G81" s="5" t="s">
        <v>1405</v>
      </c>
      <c r="H81" s="37" t="str">
        <f>HYPERLINK("http://www.lghausys.co.kr/popup/rn/download/downloadPopup.jsp?from=plwindow&amp;uu=/upload/window/DOCUMENT/SECTION-F-285.dwg","다운로드")</f>
        <v>다운로드</v>
      </c>
      <c r="I81" s="37" t="str">
        <f>HYPERLINK("http://www.lghausys.co.kr/popup/rn/download/downloadPopup.jsp?from=plwindow&amp;uu=/upload/window/DOCUMENT/FRONT-F-285.dwg","다운로드")</f>
        <v>다운로드</v>
      </c>
      <c r="J81" s="38" t="s">
        <v>19</v>
      </c>
      <c r="K81" s="37" t="str">
        <f>HYPERLINK("http://www.lghausys.co.kr/popup/rn/download/downloadPopup.jsp?from=plwindow&amp;uu=/upload/window/DOCUMENT/SECTION-F-285.pdf","다운로드")</f>
        <v>다운로드</v>
      </c>
      <c r="L81" s="37" t="str">
        <f>HYPERLINK("http://www.lghausys.co.kr/popup/rn/download/downloadPopup.jsp?from=plwindow&amp;uu=/upload/window/DOCUMENT/FRONT-F-285.pdf","다운로드")</f>
        <v>다운로드</v>
      </c>
      <c r="M81" s="38" t="s">
        <v>19</v>
      </c>
      <c r="N81" s="38" t="s">
        <v>19</v>
      </c>
      <c r="O81" s="38" t="s">
        <v>19</v>
      </c>
      <c r="P81" s="22" t="s">
        <v>1421</v>
      </c>
      <c r="Q81" s="38" t="s">
        <v>19</v>
      </c>
      <c r="R81" s="38" t="s">
        <v>19</v>
      </c>
    </row>
    <row r="82" spans="1:18">
      <c r="A82" s="25" t="s">
        <v>1385</v>
      </c>
      <c r="B82" s="25" t="s">
        <v>1396</v>
      </c>
      <c r="C82" s="25" t="s">
        <v>1399</v>
      </c>
      <c r="D82" s="25" t="s">
        <v>334</v>
      </c>
      <c r="E82" s="25" t="s">
        <v>330</v>
      </c>
      <c r="F82" s="25" t="s">
        <v>19</v>
      </c>
      <c r="G82" s="5" t="s">
        <v>1405</v>
      </c>
      <c r="H82" s="25" t="s">
        <v>1424</v>
      </c>
      <c r="I82" s="25"/>
      <c r="J82" s="25"/>
      <c r="K82" s="25" t="s">
        <v>1423</v>
      </c>
      <c r="L82" s="25"/>
      <c r="M82" s="38" t="s">
        <v>19</v>
      </c>
      <c r="N82" s="38" t="s">
        <v>19</v>
      </c>
      <c r="O82" s="38" t="s">
        <v>19</v>
      </c>
      <c r="P82" s="22" t="s">
        <v>1421</v>
      </c>
      <c r="Q82" s="38" t="s">
        <v>19</v>
      </c>
      <c r="R82" s="38" t="s">
        <v>19</v>
      </c>
    </row>
    <row r="83" spans="1:18">
      <c r="A83" s="25" t="s">
        <v>1387</v>
      </c>
      <c r="B83" s="25" t="s">
        <v>706</v>
      </c>
      <c r="C83" s="25" t="s">
        <v>1399</v>
      </c>
      <c r="D83" s="25" t="s">
        <v>334</v>
      </c>
      <c r="E83" s="25" t="s">
        <v>330</v>
      </c>
      <c r="F83" s="25" t="s">
        <v>330</v>
      </c>
      <c r="G83" s="5" t="s">
        <v>1405</v>
      </c>
      <c r="H83" s="25" t="s">
        <v>1423</v>
      </c>
      <c r="I83" s="25"/>
      <c r="J83" s="25"/>
      <c r="K83" s="25" t="s">
        <v>1423</v>
      </c>
      <c r="L83" s="25"/>
      <c r="M83" s="38" t="s">
        <v>19</v>
      </c>
      <c r="N83" s="38" t="s">
        <v>19</v>
      </c>
      <c r="O83" s="38" t="s">
        <v>19</v>
      </c>
      <c r="P83" s="22" t="s">
        <v>1421</v>
      </c>
      <c r="Q83" s="38" t="s">
        <v>19</v>
      </c>
      <c r="R83" s="38" t="s">
        <v>19</v>
      </c>
    </row>
    <row r="84" spans="1:18">
      <c r="A84" s="25" t="s">
        <v>1389</v>
      </c>
      <c r="B84" s="25" t="s">
        <v>707</v>
      </c>
      <c r="C84" s="25" t="s">
        <v>1399</v>
      </c>
      <c r="D84" s="25" t="s">
        <v>334</v>
      </c>
      <c r="E84" s="25" t="s">
        <v>330</v>
      </c>
      <c r="F84" s="25" t="s">
        <v>330</v>
      </c>
      <c r="G84" s="5" t="s">
        <v>1405</v>
      </c>
      <c r="H84" s="25" t="s">
        <v>1423</v>
      </c>
      <c r="I84" s="25"/>
      <c r="J84" s="25"/>
      <c r="K84" s="25" t="s">
        <v>1423</v>
      </c>
      <c r="L84" s="25"/>
      <c r="M84" s="38" t="s">
        <v>19</v>
      </c>
      <c r="N84" s="38" t="s">
        <v>19</v>
      </c>
      <c r="O84" s="38" t="s">
        <v>19</v>
      </c>
      <c r="P84" s="22" t="s">
        <v>1421</v>
      </c>
      <c r="Q84" s="38" t="s">
        <v>19</v>
      </c>
      <c r="R84" s="38" t="s">
        <v>19</v>
      </c>
    </row>
    <row r="85" spans="1:18" s="26" customFormat="1">
      <c r="A85" s="25" t="s">
        <v>1375</v>
      </c>
      <c r="B85" s="25" t="s">
        <v>674</v>
      </c>
      <c r="C85" s="25" t="s">
        <v>371</v>
      </c>
      <c r="D85" s="25" t="s">
        <v>334</v>
      </c>
      <c r="E85" s="25" t="s">
        <v>330</v>
      </c>
      <c r="F85" s="25" t="s">
        <v>19</v>
      </c>
      <c r="G85" s="5" t="s">
        <v>1405</v>
      </c>
      <c r="H85" s="37" t="str">
        <f>HYPERLINK("http://www.lghausys.co.kr/popup/rn/download/downloadPopup.jsp?from=plwindow&amp;uu=/upload/window/DOCUMENT/SECTION-F-230W.dwg","다운로드")</f>
        <v>다운로드</v>
      </c>
      <c r="I85" s="37" t="str">
        <f>HYPERLINK("http://www.lghausys.co.kr/popup/rn/download/downloadPopup.jsp?from=plwindow&amp;uu=/upload/window/DOCUMENT/FRONT-F-230W.dwg","다운로드")</f>
        <v>다운로드</v>
      </c>
      <c r="J85" s="38" t="s">
        <v>19</v>
      </c>
      <c r="K85" s="37" t="str">
        <f>HYPERLINK("http://www.lghausys.co.kr/popup/rn/download/downloadPopup.jsp?from=plwindow&amp;uu=/upload/window/DOCUMENT/SECTION-F-230W.pdf","다운로드")</f>
        <v>다운로드</v>
      </c>
      <c r="L85" s="37" t="str">
        <f>HYPERLINK("http://www.lghausys.co.kr/popup/rn/download/downloadPopup.jsp?from=plwindow&amp;uu=/upload/window/DOCUMENT/FRONT-F-230W.pdf","다운로드")</f>
        <v>다운로드</v>
      </c>
      <c r="M85" s="38" t="s">
        <v>19</v>
      </c>
      <c r="N85" s="38" t="s">
        <v>19</v>
      </c>
      <c r="O85" s="38" t="s">
        <v>19</v>
      </c>
      <c r="P85" s="22" t="s">
        <v>1421</v>
      </c>
      <c r="Q85" s="38" t="s">
        <v>19</v>
      </c>
      <c r="R85" s="38" t="s">
        <v>19</v>
      </c>
    </row>
    <row r="86" spans="1:18" s="26" customFormat="1">
      <c r="A86" s="25" t="s">
        <v>1377</v>
      </c>
      <c r="B86" s="25" t="s">
        <v>675</v>
      </c>
      <c r="C86" s="25" t="s">
        <v>371</v>
      </c>
      <c r="D86" s="25" t="s">
        <v>334</v>
      </c>
      <c r="E86" s="25" t="s">
        <v>330</v>
      </c>
      <c r="F86" s="25" t="s">
        <v>19</v>
      </c>
      <c r="G86" s="5" t="s">
        <v>1405</v>
      </c>
      <c r="H86" s="37" t="str">
        <f>HYPERLINK("http://www.lghausys.co.kr/popup/rn/download/downloadPopup.jsp?from=plwindow&amp;uu=/upload/window/DOCUMENT/SECTION-F-230WF.dwg","다운로드")</f>
        <v>다운로드</v>
      </c>
      <c r="I86" s="37" t="str">
        <f>HYPERLINK("http://www.lghausys.co.kr/popup/rn/download/downloadPopup.jsp?from=plwindow&amp;uu=/upload/window/DOCUMENT/FRONT-F-230WF.dwg","다운로드")</f>
        <v>다운로드</v>
      </c>
      <c r="J86" s="38" t="s">
        <v>19</v>
      </c>
      <c r="K86" s="37" t="str">
        <f>HYPERLINK("http://www.lghausys.co.kr/popup/rn/download/downloadPopup.jsp?from=plwindow&amp;uu=/upload/window/DOCUMENT/SECTION-F-230WF.pdf","다운로드")</f>
        <v>다운로드</v>
      </c>
      <c r="L86" s="37" t="str">
        <f>HYPERLINK("http://www.lghausys.co.kr/popup/rn/download/downloadPopup.jsp?from=plwindow&amp;uu=/upload/window/DOCUMENT/FRONT-F-230WF.pdf","다운로드")</f>
        <v>다운로드</v>
      </c>
      <c r="M86" s="38" t="s">
        <v>19</v>
      </c>
      <c r="N86" s="38" t="s">
        <v>19</v>
      </c>
      <c r="O86" s="38" t="s">
        <v>19</v>
      </c>
      <c r="P86" s="22" t="s">
        <v>1421</v>
      </c>
      <c r="Q86" s="38" t="s">
        <v>19</v>
      </c>
      <c r="R86" s="38" t="s">
        <v>19</v>
      </c>
    </row>
    <row r="87" spans="1:18">
      <c r="A87" s="25" t="s">
        <v>1383</v>
      </c>
      <c r="B87" s="25" t="s">
        <v>699</v>
      </c>
      <c r="C87" s="25" t="s">
        <v>371</v>
      </c>
      <c r="D87" s="25" t="s">
        <v>1401</v>
      </c>
      <c r="E87" s="25" t="s">
        <v>342</v>
      </c>
      <c r="F87" s="25" t="s">
        <v>19</v>
      </c>
      <c r="G87" s="5" t="s">
        <v>1405</v>
      </c>
      <c r="H87" s="25" t="s">
        <v>1423</v>
      </c>
      <c r="I87" s="25"/>
      <c r="J87" s="25"/>
      <c r="K87" s="25" t="s">
        <v>1423</v>
      </c>
      <c r="L87" s="25"/>
      <c r="M87" s="38" t="s">
        <v>19</v>
      </c>
      <c r="N87" s="38" t="s">
        <v>19</v>
      </c>
      <c r="O87" s="38" t="s">
        <v>19</v>
      </c>
      <c r="P87" s="22" t="s">
        <v>1421</v>
      </c>
      <c r="Q87" s="38" t="s">
        <v>19</v>
      </c>
      <c r="R87" s="38" t="s">
        <v>19</v>
      </c>
    </row>
    <row r="88" spans="1:18">
      <c r="A88" s="25" t="s">
        <v>1393</v>
      </c>
      <c r="B88" s="25" t="s">
        <v>1397</v>
      </c>
      <c r="C88" s="25" t="s">
        <v>1400</v>
      </c>
      <c r="D88" s="25" t="s">
        <v>1402</v>
      </c>
      <c r="E88" s="25" t="s">
        <v>382</v>
      </c>
      <c r="F88" s="25" t="s">
        <v>19</v>
      </c>
      <c r="G88" s="5" t="s">
        <v>1405</v>
      </c>
      <c r="H88" s="25" t="s">
        <v>1423</v>
      </c>
      <c r="I88" s="25"/>
      <c r="J88" s="25"/>
      <c r="K88" s="25" t="s">
        <v>1423</v>
      </c>
      <c r="L88" s="25"/>
      <c r="M88" s="38" t="s">
        <v>19</v>
      </c>
      <c r="N88" s="38" t="s">
        <v>19</v>
      </c>
      <c r="O88" s="38" t="s">
        <v>19</v>
      </c>
      <c r="P88" s="22" t="s">
        <v>1421</v>
      </c>
      <c r="Q88" s="38" t="s">
        <v>19</v>
      </c>
      <c r="R88" s="38" t="s">
        <v>19</v>
      </c>
    </row>
    <row r="89" spans="1:18">
      <c r="A89" s="25" t="s">
        <v>1391</v>
      </c>
      <c r="B89" s="25" t="s">
        <v>1398</v>
      </c>
      <c r="C89" s="25" t="s">
        <v>1400</v>
      </c>
      <c r="D89" s="25" t="s">
        <v>1402</v>
      </c>
      <c r="E89" s="25" t="s">
        <v>380</v>
      </c>
      <c r="F89" s="25" t="s">
        <v>19</v>
      </c>
      <c r="G89" s="5" t="s">
        <v>1405</v>
      </c>
      <c r="H89" s="25" t="s">
        <v>1423</v>
      </c>
      <c r="I89" s="25"/>
      <c r="J89" s="25"/>
      <c r="K89" s="25" t="s">
        <v>1423</v>
      </c>
      <c r="L89" s="25"/>
      <c r="M89" s="38" t="s">
        <v>19</v>
      </c>
      <c r="N89" s="38" t="s">
        <v>19</v>
      </c>
      <c r="O89" s="38" t="s">
        <v>19</v>
      </c>
      <c r="P89" s="22" t="s">
        <v>1421</v>
      </c>
      <c r="Q89" s="38" t="s">
        <v>19</v>
      </c>
      <c r="R89" s="38" t="s">
        <v>19</v>
      </c>
    </row>
    <row r="90" spans="1:18" s="26" customFormat="1">
      <c r="A90" s="25" t="s">
        <v>1378</v>
      </c>
      <c r="B90" s="25" t="s">
        <v>691</v>
      </c>
      <c r="C90" s="25" t="s">
        <v>358</v>
      </c>
      <c r="D90" s="25" t="s">
        <v>389</v>
      </c>
      <c r="E90" s="25" t="s">
        <v>330</v>
      </c>
      <c r="F90" s="25" t="s">
        <v>19</v>
      </c>
      <c r="G90" s="5" t="s">
        <v>1405</v>
      </c>
      <c r="H90" s="37" t="str">
        <f>HYPERLINK("http://www.lghausys.co.kr/popup/rn/download/downloadPopup.jsp?from=plwindow&amp;uu=/upload/window/DOCUMENT/SECTION-F-140GH.dwg","다운로드")</f>
        <v>다운로드</v>
      </c>
      <c r="I90" s="37" t="str">
        <f>HYPERLINK("http://www.lghausys.co.kr/popup/rn/download/downloadPopup.jsp?from=plwindow&amp;uu=/upload/window/DOCUMENT/FRONT-F-140GH.dwg","다운로드")</f>
        <v>다운로드</v>
      </c>
      <c r="J90" s="38" t="s">
        <v>19</v>
      </c>
      <c r="K90" s="37" t="str">
        <f>HYPERLINK("http://www.lghausys.co.kr/popup/rn/download/downloadPopup.jsp?from=plwindow&amp;uu=/upload/window/DOCUMENT/SECTION-F-140GH.pdf","다운로드")</f>
        <v>다운로드</v>
      </c>
      <c r="L90" s="37" t="str">
        <f>HYPERLINK("http://www.lghausys.co.kr/popup/rn/download/downloadPopup.jsp?from=plwindow&amp;uu=/upload/window/DOCUMENT/FRONT-F-140GH.pdf","다운로드")</f>
        <v>다운로드</v>
      </c>
      <c r="M90" s="38" t="s">
        <v>19</v>
      </c>
      <c r="N90" s="38" t="s">
        <v>19</v>
      </c>
      <c r="O90" s="38" t="s">
        <v>19</v>
      </c>
      <c r="P90" s="22" t="s">
        <v>1421</v>
      </c>
      <c r="Q90" s="38" t="s">
        <v>19</v>
      </c>
      <c r="R90" s="38" t="s">
        <v>19</v>
      </c>
    </row>
    <row r="91" spans="1:18" s="26" customFormat="1">
      <c r="A91" s="25" t="s">
        <v>1379</v>
      </c>
      <c r="B91" s="25" t="s">
        <v>692</v>
      </c>
      <c r="C91" s="25" t="s">
        <v>358</v>
      </c>
      <c r="D91" s="25" t="s">
        <v>389</v>
      </c>
      <c r="E91" s="25" t="s">
        <v>330</v>
      </c>
      <c r="F91" s="25" t="s">
        <v>19</v>
      </c>
      <c r="G91" s="5" t="s">
        <v>1405</v>
      </c>
      <c r="H91" s="37" t="str">
        <f>HYPERLINK("http://www.lghausys.co.kr/popup/rn/download/downloadPopup.jsp?from=plwindow&amp;uu=/upload/window/DOCUMENT/SECTION-F-145GH.dwg","다운로드")</f>
        <v>다운로드</v>
      </c>
      <c r="I91" s="37" t="str">
        <f>HYPERLINK("http://www.lghausys.co.kr/popup/rn/download/downloadPopup.jsp?from=plwindow&amp;uu=/upload/window/DOCUMENT/FRONT-F-145GH.dwg","다운로드")</f>
        <v>다운로드</v>
      </c>
      <c r="J91" s="38" t="s">
        <v>19</v>
      </c>
      <c r="K91" s="37" t="str">
        <f>HYPERLINK("http://www.lghausys.co.kr/popup/rn/download/downloadPopup.jsp?from=plwindow&amp;uu=/upload/window/DOCUMENT/SECTION-F-145GH.pdf","다운로드")</f>
        <v>다운로드</v>
      </c>
      <c r="L91" s="37" t="str">
        <f>HYPERLINK("http://www.lghausys.co.kr/popup/rn/download/downloadPopup.jsp?from=plwindow&amp;uu=/upload/window/DOCUMENT/FRONT-F-145GH.pdf","다운로드")</f>
        <v>다운로드</v>
      </c>
      <c r="M91" s="38" t="s">
        <v>19</v>
      </c>
      <c r="N91" s="38" t="s">
        <v>19</v>
      </c>
      <c r="O91" s="38" t="s">
        <v>19</v>
      </c>
      <c r="P91" s="22" t="s">
        <v>1421</v>
      </c>
      <c r="Q91" s="38" t="s">
        <v>19</v>
      </c>
      <c r="R91" s="38" t="s">
        <v>19</v>
      </c>
    </row>
    <row r="92" spans="1:18" s="26" customFormat="1">
      <c r="A92" s="25" t="s">
        <v>1380</v>
      </c>
      <c r="B92" s="25" t="s">
        <v>693</v>
      </c>
      <c r="C92" s="25" t="s">
        <v>358</v>
      </c>
      <c r="D92" s="25" t="s">
        <v>389</v>
      </c>
      <c r="E92" s="25" t="s">
        <v>330</v>
      </c>
      <c r="F92" s="25" t="s">
        <v>330</v>
      </c>
      <c r="G92" s="5" t="s">
        <v>1405</v>
      </c>
      <c r="H92" s="37" t="str">
        <f>HYPERLINK("http://www.lghausys.co.kr/popup/rn/download/downloadPopup.jsp?from=plwindow&amp;uu=/upload/window/DOCUMENT/SECTION-F-250GH.dwg","다운로드")</f>
        <v>다운로드</v>
      </c>
      <c r="I92" s="37" t="str">
        <f>HYPERLINK("http://www.lghausys.co.kr/popup/rn/download/downloadPopup.jsp?from=plwindow&amp;uu=/upload/window/DOCUMENT/FRONT-F-250GH.dwg","다운로드")</f>
        <v>다운로드</v>
      </c>
      <c r="J92" s="38" t="s">
        <v>19</v>
      </c>
      <c r="K92" s="37" t="str">
        <f>HYPERLINK("http://www.lghausys.co.kr/popup/rn/download/downloadPopup.jsp?from=plwindow&amp;uu=/upload/window/DOCUMENT/SECTION-F-250GH.pdf","다운로드")</f>
        <v>다운로드</v>
      </c>
      <c r="L92" s="37" t="str">
        <f>HYPERLINK("http://www.lghausys.co.kr/popup/rn/download/downloadPopup.jsp?from=plwindow&amp;uu=/upload/window/DOCUMENT/FRONT-F-250GH.pdf","다운로드")</f>
        <v>다운로드</v>
      </c>
      <c r="M92" s="38" t="s">
        <v>19</v>
      </c>
      <c r="N92" s="38" t="s">
        <v>19</v>
      </c>
      <c r="O92" s="38" t="s">
        <v>19</v>
      </c>
      <c r="P92" s="22" t="s">
        <v>1421</v>
      </c>
      <c r="Q92" s="38" t="s">
        <v>19</v>
      </c>
      <c r="R92" s="38" t="s">
        <v>19</v>
      </c>
    </row>
    <row r="93" spans="1:18" s="26" customFormat="1">
      <c r="A93" s="25" t="s">
        <v>1381</v>
      </c>
      <c r="B93" s="25" t="s">
        <v>694</v>
      </c>
      <c r="C93" s="25" t="s">
        <v>358</v>
      </c>
      <c r="D93" s="25" t="s">
        <v>389</v>
      </c>
      <c r="E93" s="25" t="s">
        <v>330</v>
      </c>
      <c r="F93" s="25" t="s">
        <v>330</v>
      </c>
      <c r="G93" s="5" t="s">
        <v>1405</v>
      </c>
      <c r="H93" s="37" t="str">
        <f>HYPERLINK("http://www.lghausys.co.kr/popup/rn/download/downloadPopup.jsp?from=plwindow&amp;uu=/upload/window/DOCUMENT/SECTION-F-265GH.dwg","다운로드")</f>
        <v>다운로드</v>
      </c>
      <c r="I93" s="37" t="str">
        <f>HYPERLINK("http://www.lghausys.co.kr/popup/rn/download/downloadPopup.jsp?from=plwindow&amp;uu=/upload/window/DOCUMENT/FRONT-F-265GH.dwg","다운로드")</f>
        <v>다운로드</v>
      </c>
      <c r="J93" s="38" t="s">
        <v>19</v>
      </c>
      <c r="K93" s="37" t="str">
        <f>HYPERLINK("http://www.lghausys.co.kr/popup/rn/download/downloadPopup.jsp?from=plwindow&amp;uu=/upload/window/DOCUMENT/SECTION-F-265GH.pdf","다운로드")</f>
        <v>다운로드</v>
      </c>
      <c r="L93" s="37" t="str">
        <f>HYPERLINK("http://www.lghausys.co.kr/popup/rn/download/downloadPopup.jsp?from=plwindow&amp;uu=/upload/window/DOCUMENT/FRONT-F-265GH.pdf","다운로드")</f>
        <v>다운로드</v>
      </c>
      <c r="M93" s="38" t="s">
        <v>19</v>
      </c>
      <c r="N93" s="38" t="s">
        <v>19</v>
      </c>
      <c r="O93" s="38" t="s">
        <v>19</v>
      </c>
      <c r="P93" s="22" t="s">
        <v>1421</v>
      </c>
      <c r="Q93" s="38" t="s">
        <v>19</v>
      </c>
      <c r="R93" s="38" t="s">
        <v>19</v>
      </c>
    </row>
    <row r="94" spans="1:18" s="26" customFormat="1">
      <c r="A94" s="25" t="s">
        <v>1382</v>
      </c>
      <c r="B94" s="25" t="s">
        <v>695</v>
      </c>
      <c r="C94" s="25" t="s">
        <v>358</v>
      </c>
      <c r="D94" s="25" t="s">
        <v>389</v>
      </c>
      <c r="E94" s="25" t="s">
        <v>330</v>
      </c>
      <c r="F94" s="25" t="s">
        <v>330</v>
      </c>
      <c r="G94" s="5" t="s">
        <v>1405</v>
      </c>
      <c r="H94" s="37" t="str">
        <f>HYPERLINK("http://www.lghausys.co.kr/popup/rn/download/downloadPopup.jsp?from=plwindow&amp;uu=/upload/window/DOCUMENT/SECTION-F-285GH.dwg","다운로드")</f>
        <v>다운로드</v>
      </c>
      <c r="I94" s="37" t="str">
        <f>HYPERLINK("http://www.lghausys.co.kr/popup/rn/download/downloadPopup.jsp?from=plwindow&amp;uu=/upload/window/DOCUMENT/FRONT-F-285GH.dwg","다운로드")</f>
        <v>다운로드</v>
      </c>
      <c r="J94" s="38" t="s">
        <v>19</v>
      </c>
      <c r="K94" s="37" t="str">
        <f>HYPERLINK("http://www.lghausys.co.kr/popup/rn/download/downloadPopup.jsp?from=plwindow&amp;uu=/upload/window/DOCUMENT/SECTION-F-285GH.pdf","다운로드")</f>
        <v>다운로드</v>
      </c>
      <c r="L94" s="37" t="str">
        <f>HYPERLINK("http://www.lghausys.co.kr/popup/rn/download/downloadPopup.jsp?from=plwindow&amp;uu=/upload/window/DOCUMENT/FRONT-F-285GH.pdf","다운로드")</f>
        <v>다운로드</v>
      </c>
      <c r="M94" s="38" t="s">
        <v>19</v>
      </c>
      <c r="N94" s="38" t="s">
        <v>19</v>
      </c>
      <c r="O94" s="38" t="s">
        <v>19</v>
      </c>
      <c r="P94" s="22" t="s">
        <v>1422</v>
      </c>
      <c r="Q94" s="38" t="s">
        <v>19</v>
      </c>
      <c r="R94" s="38" t="s">
        <v>19</v>
      </c>
    </row>
    <row r="95" spans="1:18" s="26" customFormat="1">
      <c r="A95" s="25" t="s">
        <v>1367</v>
      </c>
      <c r="B95" s="25" t="s">
        <v>678</v>
      </c>
      <c r="C95" s="25" t="s">
        <v>358</v>
      </c>
      <c r="D95" s="25" t="s">
        <v>334</v>
      </c>
      <c r="E95" s="25" t="s">
        <v>330</v>
      </c>
      <c r="F95" s="25" t="s">
        <v>19</v>
      </c>
      <c r="G95" s="5" t="s">
        <v>1406</v>
      </c>
      <c r="H95" s="37" t="str">
        <f>HYPERLINK("http://www.lghausys.co.kr/popup/rn/download/downloadPopup.jsp?from=plwindow&amp;uu=/upload/window/DOCUMENT/SECTION-F-140S.dwg","다운로드")</f>
        <v>다운로드</v>
      </c>
      <c r="I95" s="37" t="str">
        <f>HYPERLINK("http://www.lghausys.co.kr/popup/rn/download/downloadPopup.jsp?from=plwindow&amp;uu=/upload/window/DOCUMENT/FRONT-F-140S.dwg","다운로드")</f>
        <v>다운로드</v>
      </c>
      <c r="J95" s="38" t="s">
        <v>19</v>
      </c>
      <c r="K95" s="37" t="str">
        <f>HYPERLINK("http://www.lghausys.co.kr/popup/rn/download/downloadPopup.jsp?from=plwindow&amp;uu=/upload/window/DOCUMENT/SECTION-F-140S.pdf","다운로드")</f>
        <v>다운로드</v>
      </c>
      <c r="L95" s="37" t="str">
        <f>HYPERLINK("http://www.lghausys.co.kr/popup/rn/download/downloadPopup.jsp?from=plwindow&amp;uu=/upload/window/DOCUMENT/FRONT-F-140S.pdf","다운로드")</f>
        <v>다운로드</v>
      </c>
      <c r="M95" s="38" t="s">
        <v>19</v>
      </c>
      <c r="N95" s="38" t="s">
        <v>19</v>
      </c>
      <c r="O95" s="38" t="s">
        <v>19</v>
      </c>
      <c r="P95" s="41" t="s">
        <v>1419</v>
      </c>
      <c r="Q95" s="38" t="s">
        <v>19</v>
      </c>
      <c r="R95" s="38" t="s">
        <v>19</v>
      </c>
    </row>
    <row r="96" spans="1:18" s="26" customFormat="1">
      <c r="A96" s="25" t="s">
        <v>1369</v>
      </c>
      <c r="B96" s="25" t="s">
        <v>690</v>
      </c>
      <c r="C96" s="25" t="s">
        <v>358</v>
      </c>
      <c r="D96" s="25" t="s">
        <v>334</v>
      </c>
      <c r="E96" s="25" t="s">
        <v>330</v>
      </c>
      <c r="F96" s="25" t="s">
        <v>19</v>
      </c>
      <c r="G96" s="5" t="s">
        <v>1406</v>
      </c>
      <c r="H96" s="37" t="str">
        <f>HYPERLINK("http://www.lghausys.co.kr/popup/rn/download/downloadPopup.jsp?from=plwindow&amp;uu=/upload/window/DOCUMENT/SECTION-F-145S.dwg","다운로드")</f>
        <v>다운로드</v>
      </c>
      <c r="I96" s="37" t="str">
        <f>HYPERLINK("http://www.lghausys.co.kr/popup/rn/download/downloadPopup.jsp?from=plwindow&amp;uu=/upload/window/DOCUMENT/FRONT-F-145S.dwg","다운로드")</f>
        <v>다운로드</v>
      </c>
      <c r="J96" s="38" t="s">
        <v>19</v>
      </c>
      <c r="K96" s="37" t="str">
        <f>HYPERLINK("http://www.lghausys.co.kr/popup/rn/download/downloadPopup.jsp?from=plwindow&amp;uu=/upload/window/DOCUMENT/SECTION-F-145S.pdf","다운로드")</f>
        <v>다운로드</v>
      </c>
      <c r="L96" s="37" t="str">
        <f>HYPERLINK("http://www.lghausys.co.kr/popup/rn/download/downloadPopup.jsp?from=plwindow&amp;uu=/upload/window/DOCUMENT/FRONT-F-145S.pdf","다운로드")</f>
        <v>다운로드</v>
      </c>
      <c r="M96" s="38" t="s">
        <v>19</v>
      </c>
      <c r="N96" s="38" t="s">
        <v>19</v>
      </c>
      <c r="O96" s="38" t="s">
        <v>19</v>
      </c>
      <c r="P96" s="41" t="s">
        <v>1419</v>
      </c>
      <c r="Q96" s="38" t="s">
        <v>19</v>
      </c>
      <c r="R96" s="38" t="s">
        <v>19</v>
      </c>
    </row>
    <row r="97" spans="1:18" s="26" customFormat="1">
      <c r="A97" s="25" t="s">
        <v>1371</v>
      </c>
      <c r="B97" s="25" t="s">
        <v>684</v>
      </c>
      <c r="C97" s="25" t="s">
        <v>358</v>
      </c>
      <c r="D97" s="25" t="s">
        <v>334</v>
      </c>
      <c r="E97" s="25" t="s">
        <v>330</v>
      </c>
      <c r="F97" s="25" t="s">
        <v>330</v>
      </c>
      <c r="G97" s="5" t="s">
        <v>1406</v>
      </c>
      <c r="H97" s="37" t="str">
        <f>HYPERLINK("http://www.lghausys.co.kr/popup/rn/download/downloadPopup.jsp?from=plwindow&amp;uu=/upload/window/DOCUMENT/SECTION-F-250S.dwg","다운로드")</f>
        <v>다운로드</v>
      </c>
      <c r="I97" s="37" t="str">
        <f>HYPERLINK("http://www.lghausys.co.kr/popup/rn/download/downloadPopup.jsp?from=plwindow&amp;uu=/upload/window/DOCUMENT/FRONT-F-250S.dwg","다운로드")</f>
        <v>다운로드</v>
      </c>
      <c r="J97" s="38" t="s">
        <v>19</v>
      </c>
      <c r="K97" s="37" t="str">
        <f>HYPERLINK("http://www.lghausys.co.kr/popup/rn/download/downloadPopup.jsp?from=plwindow&amp;uu=/upload/window/DOCUMENT/SECTION-F-250S.pdf","다운로드")</f>
        <v>다운로드</v>
      </c>
      <c r="L97" s="37" t="str">
        <f>HYPERLINK("http://www.lghausys.co.kr/popup/rn/download/downloadPopup.jsp?from=plwindow&amp;uu=/upload/window/DOCUMENT/FRONT-F-250S.pdf","다운로드")</f>
        <v>다운로드</v>
      </c>
      <c r="M97" s="38" t="s">
        <v>19</v>
      </c>
      <c r="N97" s="38" t="s">
        <v>19</v>
      </c>
      <c r="O97" s="38" t="s">
        <v>19</v>
      </c>
      <c r="P97" s="41" t="s">
        <v>1419</v>
      </c>
      <c r="Q97" s="38" t="s">
        <v>19</v>
      </c>
      <c r="R97" s="38" t="s">
        <v>19</v>
      </c>
    </row>
    <row r="98" spans="1:18" s="26" customFormat="1">
      <c r="A98" s="25" t="s">
        <v>1373</v>
      </c>
      <c r="B98" s="25" t="s">
        <v>688</v>
      </c>
      <c r="C98" s="25" t="s">
        <v>358</v>
      </c>
      <c r="D98" s="25" t="s">
        <v>334</v>
      </c>
      <c r="E98" s="25" t="s">
        <v>330</v>
      </c>
      <c r="F98" s="25" t="s">
        <v>330</v>
      </c>
      <c r="G98" s="5" t="s">
        <v>1406</v>
      </c>
      <c r="H98" s="37" t="str">
        <f>HYPERLINK("http://www.lghausys.co.kr/popup/rn/download/downloadPopup.jsp?from=plwindow&amp;uu=/upload/window/DOCUMENT/SECTION-F-265S.dwg","다운로드")</f>
        <v>다운로드</v>
      </c>
      <c r="I98" s="37" t="str">
        <f>HYPERLINK("http://www.lghausys.co.kr/popup/rn/download/downloadPopup.jsp?from=plwindow&amp;uu=/upload/window/DOCUMENT/FRONT-F-265S.dwg","다운로드")</f>
        <v>다운로드</v>
      </c>
      <c r="J98" s="38" t="s">
        <v>19</v>
      </c>
      <c r="K98" s="37" t="str">
        <f>HYPERLINK("http://www.lghausys.co.kr/popup/rn/download/downloadPopup.jsp?from=plwindow&amp;uu=/upload/window/DOCUMENT/SECTION-F-265S.pdf","다운로드")</f>
        <v>다운로드</v>
      </c>
      <c r="L98" s="37" t="str">
        <f>HYPERLINK("http://www.lghausys.co.kr/popup/rn/download/downloadPopup.jsp?from=plwindow&amp;uu=/upload/window/DOCUMENT/FRONT-F-265S.pdf","다운로드")</f>
        <v>다운로드</v>
      </c>
      <c r="M98" s="38" t="s">
        <v>19</v>
      </c>
      <c r="N98" s="38" t="s">
        <v>19</v>
      </c>
      <c r="O98" s="38" t="s">
        <v>19</v>
      </c>
      <c r="P98" s="41" t="s">
        <v>1419</v>
      </c>
      <c r="Q98" s="38" t="s">
        <v>19</v>
      </c>
      <c r="R98" s="38" t="s">
        <v>19</v>
      </c>
    </row>
    <row r="99" spans="1:18" s="26" customFormat="1">
      <c r="A99" s="25" t="s">
        <v>1395</v>
      </c>
      <c r="B99" s="25" t="s">
        <v>698</v>
      </c>
      <c r="C99" s="25" t="s">
        <v>358</v>
      </c>
      <c r="D99" s="25" t="s">
        <v>334</v>
      </c>
      <c r="E99" s="25" t="s">
        <v>330</v>
      </c>
      <c r="F99" s="25" t="s">
        <v>330</v>
      </c>
      <c r="G99" s="5" t="s">
        <v>1406</v>
      </c>
      <c r="H99" s="37" t="s">
        <v>1423</v>
      </c>
      <c r="I99" s="37"/>
      <c r="J99" s="38"/>
      <c r="K99" s="37" t="s">
        <v>1424</v>
      </c>
      <c r="L99" s="37"/>
      <c r="M99" s="38" t="s">
        <v>19</v>
      </c>
      <c r="N99" s="38" t="s">
        <v>19</v>
      </c>
      <c r="O99" s="38" t="s">
        <v>19</v>
      </c>
      <c r="P99" s="41" t="s">
        <v>1419</v>
      </c>
      <c r="Q99" s="38" t="s">
        <v>19</v>
      </c>
      <c r="R99" s="38" t="s">
        <v>19</v>
      </c>
    </row>
    <row r="100" spans="1:18">
      <c r="A100" s="25" t="s">
        <v>1386</v>
      </c>
      <c r="B100" s="25" t="s">
        <v>709</v>
      </c>
      <c r="C100" s="25" t="s">
        <v>1399</v>
      </c>
      <c r="D100" s="25" t="s">
        <v>334</v>
      </c>
      <c r="E100" s="25" t="s">
        <v>330</v>
      </c>
      <c r="F100" s="25" t="s">
        <v>19</v>
      </c>
      <c r="G100" s="5" t="s">
        <v>1406</v>
      </c>
      <c r="H100" s="25" t="s">
        <v>1423</v>
      </c>
      <c r="I100" s="25"/>
      <c r="J100" s="25"/>
      <c r="K100" s="25" t="s">
        <v>1423</v>
      </c>
      <c r="L100" s="25"/>
      <c r="M100" s="38" t="s">
        <v>19</v>
      </c>
      <c r="N100" s="38" t="s">
        <v>19</v>
      </c>
      <c r="O100" s="38" t="s">
        <v>19</v>
      </c>
      <c r="P100" s="41" t="s">
        <v>1419</v>
      </c>
      <c r="Q100" s="38" t="s">
        <v>19</v>
      </c>
      <c r="R100" s="38" t="s">
        <v>19</v>
      </c>
    </row>
    <row r="101" spans="1:18">
      <c r="A101" s="25" t="s">
        <v>1388</v>
      </c>
      <c r="B101" s="25" t="s">
        <v>710</v>
      </c>
      <c r="C101" s="25" t="s">
        <v>1399</v>
      </c>
      <c r="D101" s="25" t="s">
        <v>334</v>
      </c>
      <c r="E101" s="25" t="s">
        <v>330</v>
      </c>
      <c r="F101" s="25" t="s">
        <v>330</v>
      </c>
      <c r="G101" s="5" t="s">
        <v>1406</v>
      </c>
      <c r="H101" s="25" t="s">
        <v>1423</v>
      </c>
      <c r="I101" s="25"/>
      <c r="J101" s="25"/>
      <c r="K101" s="25" t="s">
        <v>1423</v>
      </c>
      <c r="L101" s="25"/>
      <c r="M101" s="38" t="s">
        <v>19</v>
      </c>
      <c r="N101" s="38" t="s">
        <v>19</v>
      </c>
      <c r="O101" s="38" t="s">
        <v>19</v>
      </c>
      <c r="P101" s="41" t="s">
        <v>1419</v>
      </c>
      <c r="Q101" s="38" t="s">
        <v>19</v>
      </c>
      <c r="R101" s="38" t="s">
        <v>19</v>
      </c>
    </row>
    <row r="102" spans="1:18">
      <c r="A102" s="25" t="s">
        <v>1390</v>
      </c>
      <c r="B102" s="25" t="s">
        <v>711</v>
      </c>
      <c r="C102" s="25" t="s">
        <v>1399</v>
      </c>
      <c r="D102" s="25" t="s">
        <v>334</v>
      </c>
      <c r="E102" s="25" t="s">
        <v>330</v>
      </c>
      <c r="F102" s="25" t="s">
        <v>330</v>
      </c>
      <c r="G102" s="5" t="s">
        <v>1406</v>
      </c>
      <c r="H102" s="25" t="s">
        <v>1423</v>
      </c>
      <c r="I102" s="25"/>
      <c r="J102" s="25"/>
      <c r="K102" s="25" t="s">
        <v>1423</v>
      </c>
      <c r="L102" s="25"/>
      <c r="M102" s="38" t="s">
        <v>19</v>
      </c>
      <c r="N102" s="38" t="s">
        <v>19</v>
      </c>
      <c r="O102" s="38" t="s">
        <v>19</v>
      </c>
      <c r="P102" s="41" t="s">
        <v>1419</v>
      </c>
      <c r="Q102" s="38" t="s">
        <v>19</v>
      </c>
      <c r="R102" s="38" t="s">
        <v>19</v>
      </c>
    </row>
    <row r="103" spans="1:18" s="26" customFormat="1">
      <c r="A103" s="25" t="s">
        <v>1376</v>
      </c>
      <c r="B103" s="25" t="s">
        <v>683</v>
      </c>
      <c r="C103" s="25" t="s">
        <v>371</v>
      </c>
      <c r="D103" s="25" t="s">
        <v>334</v>
      </c>
      <c r="E103" s="25" t="s">
        <v>330</v>
      </c>
      <c r="F103" s="25" t="s">
        <v>19</v>
      </c>
      <c r="G103" s="23" t="s">
        <v>1406</v>
      </c>
      <c r="H103" s="37" t="str">
        <f>HYPERLINK("http://www.lghausys.co.kr/popup/rn/download/downloadPopup.jsp?from=plwindow&amp;uu=/upload/window/DOCUMENT/SECTION-F-230WS.dwg","다운로드")</f>
        <v>다운로드</v>
      </c>
      <c r="I103" s="37" t="str">
        <f>HYPERLINK("http://www.lghausys.co.kr/popup/rn/download/downloadPopup.jsp?from=plwindow&amp;uu=/upload/window/DOCUMENT/FRONT-F-230WS.dwg","다운로드")</f>
        <v>다운로드</v>
      </c>
      <c r="J103" s="38" t="s">
        <v>19</v>
      </c>
      <c r="K103" s="37" t="str">
        <f>HYPERLINK("http://www.lghausys.co.kr/popup/rn/download/downloadPopup.jsp?from=plwindow&amp;uu=/upload/window/DOCUMENT/SECTION-F-230WS.pdf","다운로드")</f>
        <v>다운로드</v>
      </c>
      <c r="L103" s="37" t="str">
        <f>HYPERLINK("http://www.lghausys.co.kr/popup/rn/download/downloadPopup.jsp?from=plwindow&amp;uu=/upload/window/DOCUMENT/FRONT-F-230WS.pdf","다운로드")</f>
        <v>다운로드</v>
      </c>
      <c r="M103" s="38" t="s">
        <v>19</v>
      </c>
      <c r="N103" s="38" t="s">
        <v>19</v>
      </c>
      <c r="O103" s="38" t="s">
        <v>19</v>
      </c>
      <c r="P103" s="41" t="s">
        <v>1419</v>
      </c>
      <c r="Q103" s="38" t="s">
        <v>19</v>
      </c>
      <c r="R103" s="38" t="s">
        <v>19</v>
      </c>
    </row>
    <row r="104" spans="1:18">
      <c r="A104" s="25" t="s">
        <v>1384</v>
      </c>
      <c r="B104" s="25" t="s">
        <v>1418</v>
      </c>
      <c r="C104" s="25" t="s">
        <v>371</v>
      </c>
      <c r="D104" s="25" t="s">
        <v>1401</v>
      </c>
      <c r="E104" s="25" t="s">
        <v>342</v>
      </c>
      <c r="F104" s="25" t="s">
        <v>19</v>
      </c>
      <c r="G104" s="5" t="s">
        <v>1406</v>
      </c>
      <c r="H104" s="25" t="s">
        <v>1423</v>
      </c>
      <c r="I104" s="25"/>
      <c r="J104" s="25"/>
      <c r="K104" s="25" t="s">
        <v>1423</v>
      </c>
      <c r="L104" s="25"/>
      <c r="M104" s="38" t="s">
        <v>19</v>
      </c>
      <c r="N104" s="38" t="s">
        <v>19</v>
      </c>
      <c r="O104" s="38" t="s">
        <v>19</v>
      </c>
      <c r="P104" s="41" t="s">
        <v>1419</v>
      </c>
      <c r="Q104" s="38" t="s">
        <v>19</v>
      </c>
      <c r="R104" s="38" t="s">
        <v>19</v>
      </c>
    </row>
    <row r="105" spans="1:18">
      <c r="A105" s="25" t="s">
        <v>1394</v>
      </c>
      <c r="B105" s="25" t="s">
        <v>1417</v>
      </c>
      <c r="C105" s="25" t="s">
        <v>1400</v>
      </c>
      <c r="D105" s="25" t="s">
        <v>1402</v>
      </c>
      <c r="E105" s="25" t="s">
        <v>382</v>
      </c>
      <c r="F105" s="25" t="s">
        <v>19</v>
      </c>
      <c r="G105" s="5" t="s">
        <v>1406</v>
      </c>
      <c r="H105" s="25" t="s">
        <v>1423</v>
      </c>
      <c r="I105" s="25"/>
      <c r="J105" s="25"/>
      <c r="K105" s="25" t="s">
        <v>1423</v>
      </c>
      <c r="L105" s="25"/>
      <c r="M105" s="38" t="s">
        <v>19</v>
      </c>
      <c r="N105" s="38" t="s">
        <v>19</v>
      </c>
      <c r="O105" s="38" t="s">
        <v>19</v>
      </c>
      <c r="P105" s="41" t="s">
        <v>1419</v>
      </c>
      <c r="Q105" s="38" t="s">
        <v>19</v>
      </c>
      <c r="R105" s="38" t="s">
        <v>19</v>
      </c>
    </row>
    <row r="106" spans="1:18">
      <c r="A106" s="25" t="s">
        <v>1392</v>
      </c>
      <c r="B106" s="25" t="s">
        <v>1416</v>
      </c>
      <c r="C106" s="25" t="s">
        <v>1400</v>
      </c>
      <c r="D106" s="25" t="s">
        <v>1402</v>
      </c>
      <c r="E106" s="25" t="s">
        <v>380</v>
      </c>
      <c r="F106" s="25" t="s">
        <v>19</v>
      </c>
      <c r="G106" s="5" t="s">
        <v>1406</v>
      </c>
      <c r="H106" s="25" t="s">
        <v>1423</v>
      </c>
      <c r="I106" s="25"/>
      <c r="J106" s="25"/>
      <c r="K106" s="25" t="s">
        <v>1423</v>
      </c>
      <c r="L106" s="25"/>
      <c r="M106" s="38" t="s">
        <v>19</v>
      </c>
      <c r="N106" s="38" t="s">
        <v>19</v>
      </c>
      <c r="O106" s="38" t="s">
        <v>19</v>
      </c>
      <c r="P106" s="41" t="s">
        <v>1420</v>
      </c>
      <c r="Q106" s="38" t="s">
        <v>19</v>
      </c>
      <c r="R106" s="38" t="s">
        <v>19</v>
      </c>
    </row>
    <row r="107" spans="1:18">
      <c r="I107" s="25"/>
      <c r="L107" s="25"/>
    </row>
    <row r="108" spans="1:18">
      <c r="I108" s="25"/>
      <c r="L108" s="25"/>
    </row>
    <row r="109" spans="1:18">
      <c r="I109" s="25"/>
      <c r="L109" s="25"/>
    </row>
    <row r="110" spans="1:18">
      <c r="I110" s="25"/>
      <c r="L110" s="25"/>
    </row>
    <row r="111" spans="1:18">
      <c r="I111" s="25"/>
    </row>
    <row r="112" spans="1:18">
      <c r="I112" s="25"/>
    </row>
    <row r="113" spans="9:9">
      <c r="I113" s="25"/>
    </row>
    <row r="114" spans="9:9">
      <c r="I114" s="25"/>
    </row>
    <row r="115" spans="9:9">
      <c r="I115" s="25"/>
    </row>
    <row r="116" spans="9:9">
      <c r="I116" s="25"/>
    </row>
    <row r="117" spans="9:9">
      <c r="I117" s="25"/>
    </row>
    <row r="118" spans="9:9">
      <c r="I118" s="25"/>
    </row>
    <row r="119" spans="9:9">
      <c r="I119" s="25"/>
    </row>
    <row r="120" spans="9:9">
      <c r="I120" s="25"/>
    </row>
  </sheetData>
  <sheetProtection autoFilter="0"/>
  <autoFilter ref="A1:W74" xr:uid="{00000000-0009-0000-0000-000002000000}"/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매뉴얼</vt:lpstr>
      <vt:lpstr>성적서</vt:lpstr>
      <vt:lpstr>성적서_뷰프레임</vt:lpstr>
      <vt:lpstr>완성창제품</vt:lpstr>
      <vt:lpstr>매뉴얼!Recent</vt:lpstr>
      <vt:lpstr>시험코드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송화 임</cp:lastModifiedBy>
  <dcterms:created xsi:type="dcterms:W3CDTF">2020-07-21T10:30:58Z</dcterms:created>
  <dcterms:modified xsi:type="dcterms:W3CDTF">2026-08-11T06:52:34Z</dcterms:modified>
</cp:coreProperties>
</file>